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_Finansi\03. CONSOLIDATION_IHB GROUP\11. FY 2025\06.2025\03. KFN\"/>
    </mc:Choice>
  </mc:AlternateContent>
  <xr:revisionPtr revIDLastSave="0" documentId="13_ncr:1_{B1DF21C3-21DF-434C-84A6-05698CA0FBE7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9" l="1"/>
  <c r="D95" i="9"/>
  <c r="C95" i="9"/>
  <c r="D66" i="9" l="1"/>
  <c r="C59" i="9"/>
  <c r="C55" i="9"/>
  <c r="D44" i="9"/>
  <c r="C44" i="9"/>
  <c r="C30" i="9" l="1"/>
  <c r="C29" i="9"/>
  <c r="C14" i="9"/>
  <c r="H40" i="8" l="1"/>
  <c r="E40" i="8"/>
  <c r="E20" i="8"/>
  <c r="K14" i="8"/>
  <c r="L14" i="8"/>
  <c r="K12" i="8"/>
  <c r="L12" i="8"/>
  <c r="M15" i="8"/>
  <c r="L15" i="8"/>
  <c r="M14" i="8"/>
  <c r="E18" i="8"/>
  <c r="E16" i="8"/>
  <c r="F15" i="8"/>
  <c r="E15" i="8"/>
  <c r="F14" i="8"/>
  <c r="E14" i="8"/>
  <c r="E13" i="8"/>
  <c r="E12" i="8"/>
  <c r="E30" i="7" l="1"/>
  <c r="I30" i="7"/>
  <c r="C40" i="6"/>
  <c r="C39" i="6"/>
  <c r="C37" i="6"/>
  <c r="C20" i="6" l="1"/>
  <c r="G69" i="4"/>
  <c r="G44" i="4"/>
  <c r="G52" i="4"/>
  <c r="G49" i="4"/>
  <c r="G21" i="4" l="1"/>
  <c r="G23" i="4"/>
  <c r="C69" i="4"/>
  <c r="C15" i="4"/>
  <c r="C13" i="4"/>
  <c r="C27" i="4"/>
  <c r="C25" i="5"/>
  <c r="G22" i="5"/>
  <c r="G15" i="5"/>
  <c r="G14" i="5"/>
  <c r="H69" i="4" l="1"/>
  <c r="H62" i="4"/>
  <c r="H52" i="4"/>
  <c r="H49" i="4"/>
  <c r="H23" i="4"/>
  <c r="D69" i="4"/>
  <c r="D48" i="4"/>
  <c r="D15" i="4"/>
  <c r="D13" i="4"/>
  <c r="D40" i="6"/>
  <c r="D39" i="6"/>
  <c r="D37" i="6"/>
  <c r="D19" i="6"/>
  <c r="H22" i="5"/>
  <c r="H15" i="5"/>
  <c r="H14" i="5"/>
  <c r="D25" i="5"/>
  <c r="AA3" i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H978" i="2" s="1"/>
  <c r="D13" i="9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R26" i="8" s="1"/>
  <c r="H894" i="2" s="1"/>
  <c r="N25" i="8"/>
  <c r="G25" i="8"/>
  <c r="J25" i="8" s="1"/>
  <c r="H653" i="2" s="1"/>
  <c r="N24" i="8"/>
  <c r="Q24" i="8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H768" i="2"/>
  <c r="G18" i="8"/>
  <c r="N17" i="8"/>
  <c r="H767" i="2" s="1"/>
  <c r="G17" i="8"/>
  <c r="N16" i="8"/>
  <c r="H766" i="2" s="1"/>
  <c r="G16" i="8"/>
  <c r="H556" i="2" s="1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562" i="2"/>
  <c r="H477" i="2"/>
  <c r="H945" i="2"/>
  <c r="D21" i="9"/>
  <c r="H953" i="2" s="1"/>
  <c r="H658" i="2"/>
  <c r="H1172" i="2"/>
  <c r="F87" i="9"/>
  <c r="H1303" i="2"/>
  <c r="H1325" i="2"/>
  <c r="H589" i="2"/>
  <c r="H771" i="2"/>
  <c r="Q22" i="8"/>
  <c r="R22" i="8"/>
  <c r="H891" i="2"/>
  <c r="H773" i="2"/>
  <c r="Q25" i="8"/>
  <c r="H863" i="2" s="1"/>
  <c r="H563" i="2"/>
  <c r="H747" i="2"/>
  <c r="H979" i="2"/>
  <c r="H950" i="2"/>
  <c r="H1121" i="2"/>
  <c r="R36" i="8"/>
  <c r="H903" i="2" s="1"/>
  <c r="H1320" i="2"/>
  <c r="H561" i="2"/>
  <c r="H1244" i="2"/>
  <c r="H1305" i="2"/>
  <c r="E15" i="14"/>
  <c r="D15" i="14"/>
  <c r="H1296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 s="1"/>
  <c r="H862" i="2"/>
  <c r="I31" i="7"/>
  <c r="I34" i="7" s="1"/>
  <c r="H371" i="2" s="1"/>
  <c r="H772" i="2"/>
  <c r="H48" i="2"/>
  <c r="H1193" i="2"/>
  <c r="F107" i="9"/>
  <c r="H1195" i="2" s="1"/>
  <c r="E12" i="14"/>
  <c r="D12" i="14" s="1"/>
  <c r="H1300" i="2"/>
  <c r="D3" i="12"/>
  <c r="H438" i="2"/>
  <c r="M17" i="7"/>
  <c r="M31" i="7" s="1"/>
  <c r="H228" i="2"/>
  <c r="L23" i="7"/>
  <c r="H426" i="2" s="1"/>
  <c r="H404" i="2"/>
  <c r="H988" i="2"/>
  <c r="H1002" i="2"/>
  <c r="E40" i="9"/>
  <c r="H1001" i="2"/>
  <c r="H231" i="2"/>
  <c r="L26" i="7"/>
  <c r="H429" i="2" s="1"/>
  <c r="J12" i="8"/>
  <c r="H642" i="2" s="1"/>
  <c r="I27" i="10"/>
  <c r="H1294" i="2" s="1"/>
  <c r="H240" i="2"/>
  <c r="D17" i="7"/>
  <c r="D31" i="7" s="1"/>
  <c r="H244" i="2"/>
  <c r="L14" i="7"/>
  <c r="H417" i="2"/>
  <c r="H241" i="2"/>
  <c r="H570" i="2"/>
  <c r="J33" i="8"/>
  <c r="R33" i="8" s="1"/>
  <c r="H900" i="2" s="1"/>
  <c r="H861" i="2"/>
  <c r="H558" i="2"/>
  <c r="J18" i="8"/>
  <c r="H648" i="2" s="1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H848" i="2"/>
  <c r="H875" i="2"/>
  <c r="H258" i="2"/>
  <c r="D34" i="7"/>
  <c r="H261" i="2"/>
  <c r="R34" i="8"/>
  <c r="H901" i="2" s="1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D87" i="9" l="1"/>
  <c r="H1081" i="2" s="1"/>
  <c r="D45" i="9"/>
  <c r="H974" i="2" s="1"/>
  <c r="H1043" i="2"/>
  <c r="E92" i="9"/>
  <c r="H1129" i="2" s="1"/>
  <c r="E26" i="9"/>
  <c r="H987" i="2" s="1"/>
  <c r="E35" i="9"/>
  <c r="H996" i="2" s="1"/>
  <c r="E13" i="9"/>
  <c r="H977" i="2" s="1"/>
  <c r="H913" i="2"/>
  <c r="E41" i="8"/>
  <c r="H518" i="2" s="1"/>
  <c r="I41" i="8"/>
  <c r="H638" i="2" s="1"/>
  <c r="G30" i="8"/>
  <c r="H567" i="2" s="1"/>
  <c r="E43" i="8"/>
  <c r="H520" i="2" s="1"/>
  <c r="P43" i="8"/>
  <c r="H850" i="2" s="1"/>
  <c r="H764" i="2"/>
  <c r="H551" i="2"/>
  <c r="I18" i="10"/>
  <c r="H1286" i="2" s="1"/>
  <c r="G31" i="7"/>
  <c r="G34" i="7" s="1"/>
  <c r="H327" i="2" s="1"/>
  <c r="L19" i="7"/>
  <c r="H422" i="2" s="1"/>
  <c r="G79" i="4"/>
  <c r="D13" i="12" s="1"/>
  <c r="H120" i="2"/>
  <c r="H110" i="2"/>
  <c r="G56" i="4"/>
  <c r="H87" i="2"/>
  <c r="H79" i="2"/>
  <c r="C94" i="4"/>
  <c r="H71" i="2" s="1"/>
  <c r="H69" i="2"/>
  <c r="D15" i="12"/>
  <c r="C31" i="5"/>
  <c r="C36" i="5" s="1"/>
  <c r="H147" i="2" s="1"/>
  <c r="H161" i="2"/>
  <c r="G31" i="5"/>
  <c r="H776" i="2"/>
  <c r="Q16" i="8"/>
  <c r="H856" i="2" s="1"/>
  <c r="Q15" i="8"/>
  <c r="H855" i="2" s="1"/>
  <c r="K43" i="8"/>
  <c r="H700" i="2" s="1"/>
  <c r="H660" i="2"/>
  <c r="H565" i="2"/>
  <c r="H655" i="2"/>
  <c r="R27" i="8"/>
  <c r="H895" i="2" s="1"/>
  <c r="H654" i="2"/>
  <c r="R25" i="8"/>
  <c r="H893" i="2" s="1"/>
  <c r="H652" i="2"/>
  <c r="R24" i="8"/>
  <c r="H892" i="2" s="1"/>
  <c r="J20" i="8"/>
  <c r="J16" i="8"/>
  <c r="J15" i="8"/>
  <c r="H95" i="4"/>
  <c r="H456" i="2"/>
  <c r="M34" i="7"/>
  <c r="H459" i="2" s="1"/>
  <c r="H442" i="2"/>
  <c r="H368" i="2"/>
  <c r="F17" i="7"/>
  <c r="H288" i="2" s="1"/>
  <c r="L13" i="7"/>
  <c r="H416" i="2" s="1"/>
  <c r="H218" i="2"/>
  <c r="C17" i="7"/>
  <c r="H222" i="2" s="1"/>
  <c r="D56" i="4"/>
  <c r="D44" i="6"/>
  <c r="D46" i="6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46" i="9" l="1"/>
  <c r="H975" i="2" s="1"/>
  <c r="E87" i="9"/>
  <c r="E45" i="9"/>
  <c r="H1006" i="2" s="1"/>
  <c r="E21" i="9"/>
  <c r="I43" i="8"/>
  <c r="H640" i="2" s="1"/>
  <c r="H324" i="2"/>
  <c r="D12" i="12"/>
  <c r="D11" i="12"/>
  <c r="H124" i="2"/>
  <c r="H107" i="2"/>
  <c r="D5" i="12"/>
  <c r="D10" i="12"/>
  <c r="G33" i="5"/>
  <c r="H171" i="2" s="1"/>
  <c r="G36" i="5"/>
  <c r="G37" i="5" s="1"/>
  <c r="C33" i="5"/>
  <c r="H144" i="2" s="1"/>
  <c r="H170" i="2"/>
  <c r="C37" i="5"/>
  <c r="R20" i="8"/>
  <c r="H890" i="2" s="1"/>
  <c r="H650" i="2"/>
  <c r="H646" i="2"/>
  <c r="R16" i="8"/>
  <c r="H886" i="2" s="1"/>
  <c r="H645" i="2"/>
  <c r="R15" i="8"/>
  <c r="H885" i="2" s="1"/>
  <c r="H390" i="2"/>
  <c r="F31" i="7"/>
  <c r="F34" i="7" s="1"/>
  <c r="H305" i="2" s="1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985" i="2"/>
  <c r="E46" i="9"/>
  <c r="H1007" i="2" s="1"/>
  <c r="H302" i="2"/>
  <c r="D19" i="12"/>
  <c r="H174" i="2"/>
  <c r="D8" i="12"/>
  <c r="C42" i="5"/>
  <c r="H148" i="2"/>
  <c r="D21" i="12"/>
  <c r="H175" i="2"/>
  <c r="G42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G44" i="5"/>
  <c r="H178" i="2" s="1"/>
  <c r="H153" i="2"/>
  <c r="C44" i="5"/>
  <c r="G45" i="5"/>
  <c r="H179" i="2" s="1"/>
  <c r="H176" i="2"/>
  <c r="D23" i="12"/>
  <c r="D22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155" i="2" l="1"/>
  <c r="E8" i="14"/>
  <c r="D8" i="14" s="1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<sst xmlns="http://schemas.openxmlformats.org/spreadsheetml/2006/main" count="4276" uniqueCount="999">
  <si>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</si>
  <si>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</si>
  <si>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</si>
  <si>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</si>
  <si>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</si>
  <si>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</si>
  <si>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</si>
  <si>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</si>
  <si>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</si>
  <si>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</si>
  <si>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</si>
  <si>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</si>
  <si>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</si>
  <si>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</si>
  <si>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</si>
  <si>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</si>
  <si>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</si>
  <si>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</si>
  <si>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</si>
  <si>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</si>
  <si>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</si>
  <si>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</si>
  <si>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</si>
  <si>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</si>
  <si>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</si>
  <si>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</si>
  <si>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</si>
  <si>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</si>
  <si>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</si>
  <si>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</si>
  <si>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</si>
  <si>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</si>
  <si>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</si>
  <si>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</si>
  <si>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</si>
  <si>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</si>
  <si>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</si>
  <si>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</si>
  <si>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</si>
  <si>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</si>
  <si>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</si>
  <si>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</si>
  <si>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</si>
  <si>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</si>
  <si>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</si>
  <si>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</si>
  <si>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</si>
  <si>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</si>
  <si>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</si>
  <si>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</si>
  <si>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</si>
  <si>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</si>
  <si>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</si>
  <si>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</si>
  <si>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</si>
  <si>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</si>
  <si>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</si>
  <si>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</si>
  <si>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</si>
  <si>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</si>
  <si>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</si>
  <si>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</si>
  <si>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</si>
  <si>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</si>
  <si>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</si>
  <si>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</si>
  <si>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</si>
  <si>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</si>
  <si>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</si>
  <si>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</si>
  <si>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</si>
  <si>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</si>
  <si>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</si>
  <si>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</si>
  <si>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</si>
  <si>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</si>
  <si>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</si>
  <si>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</si>
  <si>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</si>
  <si>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</si>
  <si>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</si>
  <si>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</si>
  <si>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</si>
  <si>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</si>
  <si>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</si>
  <si>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</si>
  <si>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</si>
  <si>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</si>
  <si>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</si>
  <si>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</si>
  <si>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</si>
  <si>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</si>
  <si>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</si>
  <si>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</si>
  <si>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</si>
  <si>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</si>
  <si>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</si>
  <si>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</si>
  <si>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</si>
  <si>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</si>
  <si>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</si>
  <si>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</si>
  <si>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</si>
  <si>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</si>
  <si>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</si>
  <si>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</si>
  <si>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</si>
  <si>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</si>
  <si>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</si>
  <si>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</si>
  <si>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</si>
  <si>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</si>
  <si>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</si>
  <si>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</si>
  <si>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</si>
  <si>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</si>
  <si>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</si>
  <si>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</si>
  <si>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</si>
  <si>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</si>
  <si>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</si>
  <si>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</si>
  <si>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</si>
  <si>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</si>
  <si>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</si>
  <si>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</si>
  <si>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</si>
  <si>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</si>
  <si>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</si>
  <si>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</si>
  <si>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</si>
  <si>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</si>
  <si>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</si>
  <si>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</si>
  <si>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</si>
  <si>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</si>
  <si>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</si>
  <si>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</si>
  <si>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</si>
  <si>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</si>
  <si>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</si>
  <si>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</si>
  <si>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</si>
  <si>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</si>
  <si>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</si>
  <si>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</si>
  <si>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</si>
  <si>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</si>
  <si>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</si>
  <si>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</si>
  <si>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</si>
  <si>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</si>
  <si>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</si>
  <si>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</si>
  <si>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</si>
  <si>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</si>
  <si>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</si>
  <si>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</si>
  <si>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</si>
  <si>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</si>
  <si>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</si>
  <si>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</si>
  <si>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</si>
  <si>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</si>
  <si>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</si>
  <si>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</si>
  <si>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</si>
  <si>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</si>
  <si>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</si>
  <si>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</si>
  <si>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</si>
  <si>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</si>
  <si>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</si>
  <si>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</si>
  <si>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</si>
  <si>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</si>
  <si>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</si>
  <si>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</si>
  <si>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</si>
  <si>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</si>
  <si>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</si>
  <si>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</si>
  <si>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</si>
  <si>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</si>
  <si>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</si>
  <si>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</si>
  <si>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</si>
  <si>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</si>
  <si>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</si>
  <si>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</si>
  <si>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</si>
  <si>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</si>
  <si>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</si>
  <si>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</si>
  <si>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</si>
  <si>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</si>
  <si>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</si>
  <si>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</si>
  <si>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</si>
  <si>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</si>
  <si>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</si>
  <si>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</si>
  <si>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</si>
  <si>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</si>
  <si>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</si>
  <si>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</si>
  <si>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</si>
  <si>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</si>
  <si>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</si>
  <si>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</si>
  <si>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</si>
  <si>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</si>
  <si>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</si>
  <si>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</si>
  <si>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</si>
  <si>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</si>
  <si>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</si>
  <si>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</si>
  <si>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</si>
  <si>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</si>
  <si>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</si>
  <si>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</si>
  <si>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</si>
  <si>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</si>
  <si>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</si>
  <si>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</si>
  <si>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</si>
  <si>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</si>
  <si>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</si>
  <si>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</si>
  <si>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</si>
  <si>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</si>
  <si>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</si>
  <si>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</si>
  <si>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</si>
  <si>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</si>
  <si>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</si>
  <si>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</si>
  <si>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</si>
  <si>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</si>
  <si>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</si>
  <si>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</si>
  <si>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</si>
  <si>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</si>
  <si>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</si>
  <si>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</si>
  <si>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</si>
  <si>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</si>
  <si>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</si>
  <si>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</si>
  <si>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</si>
  <si>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</si>
  <si>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</si>
  <si>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</si>
  <si>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</si>
  <si>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</si>
  <si>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</si>
  <si>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</si>
  <si>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</si>
  <si>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</si>
  <si>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</si>
  <si>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</si>
  <si>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</si>
  <si>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</si>
  <si>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</si>
  <si>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</si>
  <si>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</si>
  <si>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</si>
  <si>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</si>
  <si>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</si>
  <si>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</si>
  <si>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</si>
  <si>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</si>
  <si>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</si>
  <si>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</si>
  <si>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</si>
  <si>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</si>
  <si>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</si>
  <si>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</si>
  <si>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</si>
  <si>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</si>
  <si>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</si>
  <si>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</si>
  <si>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</si>
  <si>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</si>
  <si>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</si>
  <si>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</si>
  <si>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</si>
  <si>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</si>
  <si>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</si>
  <si>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</si>
  <si>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</si>
  <si>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</si>
  <si>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</si>
  <si>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</si>
  <si>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</si>
  <si>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</si>
  <si>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</si>
  <si>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</si>
  <si>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</si>
  <si>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</si>
  <si>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</si>
  <si>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</si>
  <si>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</si>
  <si>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</si>
  <si>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</si>
  <si>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</si>
  <si>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</si>
  <si>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</si>
  <si>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</si>
  <si>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</si>
  <si>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</si>
  <si>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</si>
  <si>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</si>
  <si>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</si>
  <si>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</si>
  <si>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</si>
  <si>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</si>
  <si>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</si>
  <si>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</si>
  <si>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</si>
  <si>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</si>
  <si>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</si>
  <si>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</si>
  <si>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</si>
  <si>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</si>
  <si>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</si>
  <si>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</si>
  <si>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</si>
  <si>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</si>
  <si>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</si>
  <si>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</si>
  <si>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</si>
  <si>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</si>
  <si>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</si>
  <si>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</si>
  <si>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</si>
  <si>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</si>
  <si>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</si>
  <si>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</si>
  <si>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</si>
  <si>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</si>
  <si>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</si>
  <si>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</si>
  <si>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</si>
  <si>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</si>
  <si>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</si>
  <si>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</si>
  <si>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</si>
  <si>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</si>
  <si>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</si>
  <si>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</si>
  <si>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</si>
  <si>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</si>
  <si>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</si>
  <si>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</si>
  <si>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</si>
  <si>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</si>
  <si>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</si>
  <si>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</si>
  <si>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</si>
  <si>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</si>
  <si>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</si>
  <si>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</si>
  <si>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</si>
  <si>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</si>
  <si>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</si>
  <si>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</si>
  <si>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</si>
  <si>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</si>
  <si>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</si>
  <si>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</si>
  <si>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</si>
  <si>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</si>
  <si>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</si>
  <si>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</si>
  <si>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</si>
  <si>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</si>
  <si>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</si>
  <si>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</si>
  <si>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</si>
  <si>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</si>
  <si>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</si>
  <si>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</si>
  <si>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</si>
  <si>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</si>
  <si>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</si>
  <si>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</si>
  <si>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</si>
  <si>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</si>
  <si>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</si>
  <si>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</si>
  <si>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</si>
  <si>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</si>
  <si>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</si>
  <si>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</si>
  <si>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</si>
  <si>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</si>
  <si>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</si>
  <si>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</si>
  <si>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</si>
  <si>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</si>
  <si>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</si>
  <si>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</si>
  <si>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</si>
  <si>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</si>
  <si>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</si>
  <si>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</si>
  <si>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</si>
  <si>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</si>
  <si>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</si>
  <si>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</si>
  <si>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</si>
  <si>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</si>
  <si>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</si>
  <si>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</si>
  <si>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</si>
  <si>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</si>
  <si>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</si>
  <si>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</si>
  <si>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</si>
  <si>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</si>
  <si>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</si>
  <si>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</si>
  <si>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</si>
  <si>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</si>
  <si>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</si>
  <si>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</si>
  <si>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</si>
  <si>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</si>
  <si>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</si>
  <si>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</si>
  <si>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</si>
  <si>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</si>
  <si>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</si>
  <si>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</si>
  <si>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</si>
  <si>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</si>
  <si>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</si>
  <si>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</si>
  <si>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</si>
  <si>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</si>
  <si>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</si>
  <si>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</si>
  <si>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</si>
  <si>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</si>
  <si>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</si>
  <si>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</si>
  <si>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</si>
  <si>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</si>
  <si>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</si>
  <si>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</si>
  <si>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</si>
  <si>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</si>
  <si>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</si>
  <si>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</si>
  <si>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</si>
  <si>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</si>
  <si>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</si>
  <si>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</si>
  <si>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</si>
  <si>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</si>
  <si>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</si>
  <si>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</si>
  <si>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</si>
  <si>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</si>
  <si>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</si>
  <si>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</si>
  <si>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</si>
  <si>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</si>
  <si>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</si>
  <si>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</si>
  <si>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</si>
  <si>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</si>
  <si>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</si>
  <si>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</si>
  <si>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</si>
  <si>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</si>
  <si>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</si>
  <si>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</si>
  <si>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</si>
  <si>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</si>
  <si>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</si>
  <si>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</si>
  <si>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</si>
  <si>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</si>
  <si>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</si>
  <si>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</si>
  <si>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</si>
  <si>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</si>
  <si>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</si>
  <si>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</si>
  <si>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</si>
  <si>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</si>
  <si>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</si>
  <si>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</si>
  <si>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</si>
  <si>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</si>
  <si>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</si>
  <si>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</si>
  <si>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</si>
  <si>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</si>
  <si>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</si>
  <si>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</si>
  <si>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</si>
  <si>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</si>
  <si>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</si>
  <si>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</si>
  <si>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</si>
  <si>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</si>
  <si>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</si>
  <si>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</si>
  <si>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</si>
  <si>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</si>
  <si>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</si>
  <si>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</si>
  <si>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</si>
  <si>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</si>
  <si>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</si>
  <si>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</si>
  <si>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</si>
  <si>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</si>
  <si>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</si>
  <si>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</si>
  <si>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</si>
  <si>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</si>
  <si>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</si>
  <si>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</si>
  <si>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</si>
  <si>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</si>
  <si>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</si>
  <si>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</si>
  <si>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</si>
  <si>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</si>
  <si>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</si>
  <si>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</si>
  <si>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</si>
  <si>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</si>
  <si>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</si>
  <si>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</si>
  <si>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</si>
  <si>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</si>
  <si>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</si>
  <si>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</si>
  <si>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</si>
  <si>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</si>
  <si>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</si>
  <si>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</si>
  <si>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</si>
  <si>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</si>
  <si>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</si>
  <si>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</si>
  <si>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</si>
  <si>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</si>
  <si>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</si>
  <si>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</si>
  <si>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</si>
  <si>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</si>
  <si>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</si>
  <si>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</si>
  <si>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</si>
  <si>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</si>
  <si>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</si>
  <si>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</si>
  <si>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</si>
  <si>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</si>
  <si>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</si>
  <si>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</si>
  <si>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</si>
  <si>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</si>
  <si>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</si>
  <si>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</si>
  <si>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</si>
  <si>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</si>
  <si>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</si>
  <si>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</si>
  <si>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</si>
  <si>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</si>
  <si>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</si>
  <si>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</si>
  <si>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</si>
  <si>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</si>
  <si>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</si>
  <si>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</si>
  <si>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</si>
  <si>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</si>
  <si>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</si>
  <si>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</si>
  <si>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</si>
  <si>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</si>
  <si>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</si>
  <si>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</si>
  <si>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</si>
  <si>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</si>
  <si>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</si>
  <si>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</si>
  <si>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</si>
  <si>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</si>
  <si>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</si>
  <si>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</si>
  <si>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</si>
  <si>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</si>
  <si>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</si>
  <si>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</si>
  <si>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</si>
  <si>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</si>
  <si>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</si>
  <si>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</si>
  <si>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</si>
  <si>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</si>
  <si>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</si>
  <si>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</si>
  <si>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</si>
  <si>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</si>
  <si>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</si>
  <si>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</si>
  <si>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</si>
  <si>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</si>
  <si>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</si>
  <si>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</si>
  <si>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</si>
  <si>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</si>
  <si>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</si>
  <si>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</si>
  <si>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</si>
  <si>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</si>
  <si>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</si>
  <si>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</si>
  <si>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</si>
  <si>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</si>
  <si>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</si>
  <si>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</si>
  <si>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</si>
  <si>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</si>
  <si>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</si>
  <si>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</si>
  <si>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</si>
  <si>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</si>
  <si>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</si>
  <si>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</si>
  <si>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</si>
  <si>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</si>
  <si>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</si>
  <si>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</si>
  <si>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</si>
  <si>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</si>
  <si>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</si>
  <si>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</si>
  <si>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</si>
  <si>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</si>
  <si>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</si>
  <si>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</si>
  <si>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</si>
  <si>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</si>
  <si>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</si>
  <si>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</si>
  <si>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</si>
  <si>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</si>
  <si>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</si>
  <si>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</si>
  <si>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</si>
  <si>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</si>
  <si>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</si>
  <si>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</si>
  <si>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</si>
  <si>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</si>
  <si>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</si>
  <si>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</si>
  <si>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</si>
  <si>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</si>
  <si>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</si>
  <si>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</si>
  <si>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</si>
  <si>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</si>
  <si>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</si>
  <si>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</si>
  <si>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</si>
  <si>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</si>
  <si>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</si>
  <si>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</si>
  <si>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</si>
  <si>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</si>
  <si>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</si>
  <si>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</si>
  <si>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</si>
  <si>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</si>
  <si>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</si>
  <si>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</si>
  <si>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</si>
  <si>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</si>
  <si>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</si>
  <si>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</si>
  <si>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</si>
  <si>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</si>
  <si>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</si>
  <si>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</si>
  <si>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</si>
  <si>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</si>
  <si>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</si>
  <si>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</si>
  <si>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</si>
  <si>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</si>
  <si>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</si>
  <si>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</si>
  <si>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</si>
  <si>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</si>
  <si>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</si>
  <si>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</si>
  <si>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</si>
  <si>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</si>
  <si>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</si>
  <si>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</si>
  <si>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</si>
  <si>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</si>
  <si>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</si>
  <si>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</si>
  <si>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</si>
  <si>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</si>
  <si>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</si>
  <si>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</si>
  <si>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</si>
  <si>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</si>
  <si>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</si>
  <si>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</si>
  <si>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</si>
  <si>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</si>
  <si>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</si>
  <si>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</si>
  <si>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</si>
  <si>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</si>
  <si>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</si>
  <si>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</si>
  <si>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</si>
  <si>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</si>
  <si>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</si>
  <si>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</si>
  <si>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</si>
  <si>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</si>
  <si>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</si>
  <si>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</si>
  <si>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</si>
  <si>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</si>
  <si>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</si>
  <si>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</si>
  <si>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</si>
  <si>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</si>
  <si>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</si>
  <si>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</si>
  <si>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</si>
  <si>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</si>
  <si>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</si>
  <si>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</si>
  <si>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</si>
  <si>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</si>
  <si>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</si>
  <si>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</si>
  <si>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</si>
  <si>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</si>
  <si>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</si>
  <si>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</si>
  <si>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</si>
  <si>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</si>
  <si>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</si>
  <si>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</si>
  <si>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</si>
  <si>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</si>
  <si>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</si>
  <si>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</si>
  <si>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</si>
  <si>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</si>
  <si>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</si>
  <si>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</si>
  <si>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</si>
  <si>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</si>
  <si>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</si>
  <si>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</si>
  <si>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</si>
  <si>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</si>
  <si>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</si>
  <si>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</si>
  <si>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</si>
  <si>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</si>
  <si>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</si>
  <si>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</si>
  <si>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</si>
  <si>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</si>
  <si>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</si>
  <si>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</si>
  <si>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</si>
  <si>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</si>
  <si>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</si>
  <si>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</si>
  <si>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</si>
  <si>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</si>
  <si>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</si>
  <si>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</si>
  <si>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</si>
  <si>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</si>
  <si>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</si>
  <si>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</si>
  <si>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</si>
  <si>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</si>
  <si>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</si>
  <si>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</si>
  <si>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</si>
  <si>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</si>
  <si>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</si>
  <si>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</si>
  <si>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</si>
  <si>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</si>
  <si>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</si>
  <si>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</si>
  <si>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</si>
  <si>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</si>
  <si>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</si>
  <si>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</si>
  <si>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</si>
  <si>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</si>
  <si>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</si>
  <si>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</si>
  <si>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</si>
  <si>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</si>
  <si>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</si>
  <si>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</si>
  <si>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</si>
  <si>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</si>
  <si>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</si>
  <si>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</si>
  <si>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</si>
  <si>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</si>
  <si>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</si>
  <si>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</si>
  <si>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</si>
  <si>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</si>
  <si>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</si>
  <si>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</si>
  <si>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</si>
  <si>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</si>
  <si>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</si>
  <si>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</si>
  <si>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</si>
  <si>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</si>
  <si>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</si>
  <si>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</si>
  <si>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</si>
  <si>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</si>
  <si>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</si>
  <si>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</si>
  <si>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</si>
  <si>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</si>
  <si>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</si>
  <si>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</si>
  <si>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</si>
  <si>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</si>
  <si>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</si>
  <si>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</si>
  <si>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</si>
  <si>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</si>
  <si>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</si>
  <si>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</si>
  <si>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</si>
  <si>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</si>
  <si>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</si>
  <si>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</si>
  <si>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</si>
  <si>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</si>
  <si>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</si>
  <si>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</si>
  <si>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</si>
  <si>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</si>
  <si>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</si>
  <si>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</si>
  <si>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</si>
  <si>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</si>
  <si>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</si>
  <si>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</si>
  <si>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</si>
  <si>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</si>
  <si>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</si>
  <si>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</si>
  <si>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</si>
  <si>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</si>
  <si>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</si>
  <si>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</si>
  <si>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</si>
  <si>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</si>
  <si>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</si>
  <si>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</si>
  <si>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</si>
  <si>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</si>
  <si>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</si>
  <si>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</si>
  <si>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</si>
  <si>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</si>
  <si>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</si>
  <si>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</si>
  <si>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</si>
  <si>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</si>
  <si>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</si>
  <si>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</si>
  <si>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</si>
  <si>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</si>
  <si>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</si>
  <si>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</si>
  <si>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</si>
  <si>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</si>
  <si>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</si>
  <si>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</si>
  <si>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</si>
  <si>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</si>
  <si>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</si>
  <si>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</si>
  <si>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</si>
  <si>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</si>
  <si>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</si>
  <si>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</si>
  <si>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</si>
  <si>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</si>
  <si>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</si>
  <si>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</si>
  <si>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</si>
  <si>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</si>
  <si>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</si>
  <si>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</si>
  <si>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</si>
  <si>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</si>
  <si>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</si>
  <si>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</si>
  <si>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</si>
  <si>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</si>
  <si>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</si>
  <si>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</si>
  <si>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</si>
  <si>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</si>
  <si>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</si>
  <si>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</si>
  <si>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</si>
  <si>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</si>
  <si>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</si>
  <si>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</si>
  <si>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</si>
  <si>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</si>
  <si>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</si>
  <si>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</si>
  <si>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</si>
  <si>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</si>
  <si>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</si>
  <si>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</si>
  <si>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</si>
  <si>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</si>
  <si>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</si>
  <si>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</si>
  <si>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</si>
  <si>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</si>
  <si>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</si>
  <si>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</si>
  <si>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</si>
  <si>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</si>
  <si>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</si>
  <si>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</si>
  <si>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</si>
  <si>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</si>
  <si>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</si>
  <si>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</si>
  <si>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</si>
  <si>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</si>
  <si>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</si>
  <si>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</si>
  <si>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</si>
  <si>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</si>
  <si>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</si>
  <si>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</si>
  <si>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</si>
  <si>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</si>
  <si>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</si>
  <si>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</si>
  <si>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</si>
  <si>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</si>
  <si>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</si>
  <si>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</si>
  <si>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</si>
  <si>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</si>
  <si>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Индустриален холдинг България АД</t>
  </si>
  <si>
    <t>121631219</t>
  </si>
  <si>
    <t>Данета Желева,  Галина Денева</t>
  </si>
  <si>
    <t>заедно и поотделно</t>
  </si>
  <si>
    <t>гр. София, бул. Мария Луиза №79,  ет.3</t>
  </si>
  <si>
    <t>029807101</t>
  </si>
  <si>
    <t>оffice@bulgariaholding.com</t>
  </si>
  <si>
    <t>www.bulgariaholding.com</t>
  </si>
  <si>
    <t>Инвестор.бг</t>
  </si>
  <si>
    <t>Иван Рашков</t>
  </si>
  <si>
    <t>гл. счетоводител</t>
  </si>
  <si>
    <t>Данета Желева</t>
  </si>
  <si>
    <t>Забележка: Във връзка с прилагането на МСФО 16 "Лизинг" активите и пасивите по лизинг са представени:</t>
  </si>
  <si>
    <t>На ред 1-0012 е включен "Актив с право на ползване" в размер на 2,056 х.лв. (2024 г.: 2,197 хил.лв.)</t>
  </si>
  <si>
    <t>На ред 1-0014 е включен "Актив с право на ползване" в размер на 54 х.лв. (2024 г.: 72 хил.лв.)</t>
  </si>
  <si>
    <t>На ред 1-0517 е включена дългосроната част на "Задължение по лизинг" в размер на 1,888 х.лв. (2024 г: 2,030 хил.лв.)</t>
  </si>
  <si>
    <t>На ред 1-0618 е включена краткосрочната част на "Задължение по лизинг" в размер на 294 х.лв. (2024 г: 299 хил.лв.)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</si>
</sst>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4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0" fontId="3" fillId="0" borderId="0" xfId="11" applyFont="1" applyAlignment="1">
      <alignment horizontal="right" vertical="center" wrapText="1"/>
    </xf>
    <xf numFmtId="0" fontId="35" fillId="0" borderId="0" xfId="0" applyFont="1" applyProtection="1">
      <protection hidden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E5" sqref="E5"/>
    </sheetView>
  </sheetViews>
  <sheetFormatPr defaultRowHeight="15.75"/>
  <cols>
    <col min="1" max="1" width="30.7109375" style="578" customWidth="1"/>
    <col min="2" max="2" width="65.7109375" style="578" customWidth="1"/>
    <col min="3" max="3" width="4.140625" style="578" customWidth="1"/>
    <col min="4" max="4" width="4" style="578" customWidth="1"/>
    <col min="5" max="26" width="9.140625" style="578"/>
    <col min="27" max="27" width="9.85546875" style="578" bestFit="1" customWidth="1"/>
    <col min="28" max="16384" width="9.140625" style="578"/>
  </cols>
  <sheetData>
    <row r="1" spans="1:27">
      <c r="A1" s="1" t="s">
        <v>0</v>
      </c>
      <c r="B1" s="2"/>
      <c r="Z1" s="606">
        <v>1</v>
      </c>
      <c r="AA1" s="589">
        <f>IF(ISBLANK(_endDate),"",_endDate)</f>
        <v>45838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06">
        <v>2</v>
      </c>
      <c r="AA2" s="589">
        <f>IF(ISBLANK(_pdeReportingDate),"",_pdeReportingDate)</f>
        <v>45897</v>
      </c>
    </row>
    <row r="3" spans="1:27">
      <c r="A3" s="574" t="s">
        <v>970</v>
      </c>
      <c r="B3" s="575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11"/>
      <c r="Z3" s="606">
        <v>3</v>
      </c>
      <c r="AA3" s="589" t="str">
        <f>IF(ISBLANK(_authorName),"",_authorName)</f>
        <v>Иван Рашков</v>
      </c>
    </row>
    <row r="4" spans="1:27">
      <c r="A4" s="603" t="s">
        <v>981</v>
      </c>
      <c r="B4" s="573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11"/>
    </row>
    <row r="5" spans="1:27" ht="47.25">
      <c r="A5" s="576" t="s">
        <v>3</v>
      </c>
      <c r="B5" s="3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11"/>
      <c r="X5" s="604"/>
    </row>
    <row r="6" spans="1:27"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11"/>
    </row>
    <row r="7" spans="1:27">
      <c r="A7" s="1"/>
      <c r="B7" s="2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604"/>
      <c r="S7" s="604"/>
      <c r="T7" s="604"/>
      <c r="U7" s="604"/>
      <c r="V7" s="604"/>
      <c r="W7" s="11"/>
    </row>
    <row r="8" spans="1:27">
      <c r="A8" s="4" t="s">
        <v>4</v>
      </c>
      <c r="B8" s="5"/>
      <c r="E8" s="604"/>
      <c r="F8" s="604"/>
      <c r="G8" s="604"/>
      <c r="H8" s="604"/>
      <c r="I8" s="604"/>
      <c r="J8" s="604"/>
      <c r="K8" s="604"/>
      <c r="L8" s="604"/>
      <c r="N8" s="604"/>
      <c r="O8" s="604"/>
      <c r="P8" s="604"/>
      <c r="Q8" s="604"/>
      <c r="R8" s="604"/>
      <c r="S8" s="604"/>
      <c r="T8" s="604"/>
      <c r="U8" s="604"/>
      <c r="V8" s="604"/>
    </row>
    <row r="9" spans="1:27">
      <c r="A9" s="6" t="s">
        <v>5</v>
      </c>
      <c r="B9" s="488">
        <v>45658</v>
      </c>
      <c r="D9" s="604"/>
      <c r="E9" s="604"/>
      <c r="F9" s="604"/>
      <c r="G9" s="604"/>
      <c r="H9" s="604"/>
      <c r="I9" s="604"/>
      <c r="J9" s="604"/>
      <c r="K9" s="604"/>
      <c r="L9" s="604"/>
      <c r="M9" s="604"/>
      <c r="N9" s="604"/>
      <c r="O9" s="604"/>
      <c r="P9" s="604"/>
      <c r="Q9" s="604"/>
      <c r="R9" s="604"/>
      <c r="S9" s="604"/>
      <c r="T9" s="604"/>
      <c r="U9" s="604"/>
      <c r="V9" s="604"/>
    </row>
    <row r="10" spans="1:27">
      <c r="A10" s="6" t="s">
        <v>6</v>
      </c>
      <c r="B10" s="488">
        <v>45838</v>
      </c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4"/>
      <c r="U10" s="604"/>
      <c r="V10" s="604"/>
    </row>
    <row r="11" spans="1:27">
      <c r="A11" s="6" t="s">
        <v>7</v>
      </c>
      <c r="B11" s="488">
        <v>45897</v>
      </c>
      <c r="C11" s="604"/>
      <c r="E11" s="604"/>
      <c r="F11" s="604"/>
      <c r="G11" s="604"/>
      <c r="H11" s="604"/>
      <c r="I11" s="604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</row>
    <row r="12" spans="1:27">
      <c r="A12" s="593"/>
      <c r="B12" s="7"/>
      <c r="D12" s="604"/>
      <c r="E12" s="604"/>
      <c r="F12" s="604"/>
      <c r="G12" s="604"/>
      <c r="H12" s="604"/>
      <c r="I12" s="604"/>
      <c r="J12" s="604"/>
      <c r="K12" s="604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4"/>
    </row>
    <row r="13" spans="1:27">
      <c r="A13" s="576" t="s">
        <v>8</v>
      </c>
      <c r="B13" s="3"/>
      <c r="D13" s="604"/>
      <c r="E13" s="604"/>
      <c r="F13" s="604"/>
      <c r="G13" s="604"/>
      <c r="H13" s="604"/>
      <c r="I13" s="604"/>
      <c r="J13" s="604"/>
      <c r="K13" s="604"/>
      <c r="L13" s="604"/>
      <c r="M13" s="604"/>
      <c r="N13" s="604"/>
      <c r="O13" s="604"/>
      <c r="P13" s="604"/>
      <c r="Q13" s="604"/>
      <c r="R13" s="604"/>
      <c r="S13" s="604"/>
      <c r="T13" s="604"/>
      <c r="U13" s="604"/>
      <c r="V13" s="604"/>
    </row>
    <row r="14" spans="1:27">
      <c r="A14" s="6" t="s">
        <v>9</v>
      </c>
      <c r="B14" s="487" t="s">
        <v>982</v>
      </c>
      <c r="D14" s="604"/>
      <c r="E14" s="604"/>
      <c r="F14" s="604"/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R14" s="604"/>
      <c r="S14" s="604"/>
      <c r="T14" s="604"/>
      <c r="U14" s="604"/>
      <c r="V14" s="604"/>
    </row>
    <row r="15" spans="1:27">
      <c r="A15" s="8" t="s">
        <v>10</v>
      </c>
      <c r="B15" s="489" t="s">
        <v>971</v>
      </c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604"/>
      <c r="R15" s="604"/>
      <c r="S15" s="604"/>
      <c r="T15" s="604"/>
      <c r="U15" s="604"/>
      <c r="V15" s="604"/>
    </row>
    <row r="16" spans="1:27">
      <c r="A16" s="6" t="s">
        <v>11</v>
      </c>
      <c r="B16" s="487" t="s">
        <v>983</v>
      </c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604"/>
      <c r="S16" s="604"/>
      <c r="T16" s="604"/>
      <c r="U16" s="604"/>
      <c r="V16" s="604"/>
    </row>
    <row r="17" spans="1:22">
      <c r="A17" s="6" t="s">
        <v>12</v>
      </c>
      <c r="B17" s="487" t="s">
        <v>984</v>
      </c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604"/>
      <c r="S17" s="604"/>
      <c r="T17" s="604"/>
      <c r="U17" s="604"/>
      <c r="V17" s="604"/>
    </row>
    <row r="18" spans="1:22">
      <c r="A18" s="6" t="s">
        <v>13</v>
      </c>
      <c r="B18" s="487" t="s">
        <v>985</v>
      </c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604"/>
      <c r="S18" s="604"/>
      <c r="T18" s="604"/>
      <c r="U18" s="604"/>
      <c r="V18" s="604"/>
    </row>
    <row r="19" spans="1:22">
      <c r="A19" s="6" t="s">
        <v>14</v>
      </c>
      <c r="B19" s="487" t="s">
        <v>986</v>
      </c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604"/>
      <c r="S19" s="604"/>
      <c r="T19" s="604"/>
      <c r="U19" s="604"/>
      <c r="V19" s="604"/>
    </row>
    <row r="20" spans="1:22">
      <c r="A20" s="6" t="s">
        <v>15</v>
      </c>
      <c r="B20" s="487" t="s">
        <v>986</v>
      </c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U20" s="604"/>
      <c r="V20" s="604"/>
    </row>
    <row r="21" spans="1:22">
      <c r="A21" s="8" t="s">
        <v>16</v>
      </c>
      <c r="B21" s="489" t="s">
        <v>987</v>
      </c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4"/>
      <c r="O21" s="604"/>
      <c r="P21" s="604"/>
      <c r="Q21" s="604"/>
      <c r="R21" s="604"/>
      <c r="S21" s="604"/>
      <c r="T21" s="604"/>
      <c r="U21" s="604"/>
      <c r="V21" s="604"/>
    </row>
    <row r="22" spans="1:22">
      <c r="A22" s="8" t="s">
        <v>17</v>
      </c>
      <c r="B22" s="489"/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4"/>
      <c r="O22" s="604"/>
      <c r="P22" s="604"/>
      <c r="Q22" s="604"/>
      <c r="R22" s="604"/>
      <c r="S22" s="604"/>
      <c r="T22" s="604"/>
      <c r="U22" s="604"/>
      <c r="V22" s="604"/>
    </row>
    <row r="23" spans="1:22">
      <c r="A23" s="8" t="s">
        <v>18</v>
      </c>
      <c r="B23" s="579" t="s">
        <v>988</v>
      </c>
      <c r="D23" s="604"/>
      <c r="E23" s="604"/>
      <c r="F23" s="604"/>
      <c r="G23" s="604"/>
      <c r="H23" s="604"/>
      <c r="I23" s="604"/>
      <c r="J23" s="604"/>
      <c r="K23" s="604"/>
      <c r="L23" s="604"/>
      <c r="M23" s="604"/>
      <c r="N23" s="604"/>
      <c r="O23" s="604"/>
      <c r="P23" s="604"/>
      <c r="Q23" s="604"/>
      <c r="R23" s="604"/>
      <c r="S23" s="604"/>
      <c r="T23" s="604"/>
      <c r="U23" s="604"/>
      <c r="V23" s="604"/>
    </row>
    <row r="24" spans="1:22">
      <c r="A24" s="8" t="s">
        <v>19</v>
      </c>
      <c r="B24" s="580" t="s">
        <v>989</v>
      </c>
      <c r="D24" s="604"/>
      <c r="E24" s="604"/>
      <c r="F24" s="604"/>
      <c r="G24" s="604"/>
      <c r="H24" s="604"/>
      <c r="I24" s="604"/>
      <c r="J24" s="604"/>
      <c r="K24" s="604"/>
      <c r="L24" s="604"/>
      <c r="M24" s="604"/>
      <c r="N24" s="604"/>
      <c r="O24" s="604"/>
      <c r="P24" s="604"/>
      <c r="Q24" s="604"/>
      <c r="R24" s="604"/>
      <c r="S24" s="604"/>
      <c r="T24" s="604"/>
      <c r="U24" s="604"/>
      <c r="V24" s="604"/>
    </row>
    <row r="25" spans="1:22">
      <c r="A25" s="6" t="s">
        <v>20</v>
      </c>
      <c r="B25" s="581" t="s">
        <v>990</v>
      </c>
      <c r="D25" s="604"/>
      <c r="E25" s="604"/>
      <c r="F25" s="604"/>
      <c r="G25" s="604"/>
      <c r="H25" s="604"/>
      <c r="I25" s="604"/>
      <c r="J25" s="604"/>
      <c r="K25" s="604"/>
      <c r="L25" s="604"/>
      <c r="M25" s="604"/>
      <c r="N25" s="604"/>
      <c r="O25" s="604"/>
      <c r="P25" s="604"/>
      <c r="Q25" s="604"/>
      <c r="R25" s="604"/>
      <c r="S25" s="604"/>
      <c r="T25" s="604"/>
      <c r="U25" s="604"/>
      <c r="V25" s="604"/>
    </row>
    <row r="26" spans="1:22">
      <c r="A26" s="8" t="s">
        <v>21</v>
      </c>
      <c r="B26" s="489" t="s">
        <v>991</v>
      </c>
      <c r="D26" s="604"/>
      <c r="E26" s="604"/>
      <c r="F26" s="604"/>
      <c r="G26" s="604"/>
      <c r="H26" s="604"/>
      <c r="I26" s="604"/>
      <c r="J26" s="604"/>
      <c r="K26" s="604"/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</row>
    <row r="27" spans="1:22">
      <c r="A27" s="8" t="s">
        <v>22</v>
      </c>
      <c r="B27" s="489" t="s">
        <v>992</v>
      </c>
      <c r="D27" s="604"/>
      <c r="E27" s="604"/>
      <c r="F27" s="604"/>
      <c r="G27" s="604"/>
      <c r="H27" s="604"/>
      <c r="I27" s="604"/>
      <c r="J27" s="604"/>
      <c r="K27" s="604"/>
      <c r="L27" s="604"/>
      <c r="M27" s="604"/>
      <c r="N27" s="604"/>
      <c r="O27" s="604"/>
      <c r="P27" s="604"/>
      <c r="Q27" s="604"/>
      <c r="R27" s="604"/>
      <c r="S27" s="604"/>
      <c r="T27" s="604"/>
      <c r="U27" s="604"/>
      <c r="V27" s="604"/>
    </row>
    <row r="28" spans="1:22">
      <c r="A28" s="601" t="s">
        <v>979</v>
      </c>
      <c r="B28" s="602" t="s">
        <v>980</v>
      </c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</row>
    <row r="29" spans="1:22">
      <c r="A29" s="9"/>
      <c r="B29" s="9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604"/>
      <c r="S29" s="604"/>
      <c r="T29" s="604"/>
      <c r="U29" s="604"/>
      <c r="V29" s="604"/>
    </row>
    <row r="30" spans="1:22">
      <c r="A30" s="10" t="s">
        <v>23</v>
      </c>
      <c r="B30" s="9"/>
      <c r="D30" s="604"/>
      <c r="E30" s="604"/>
      <c r="F30" s="604"/>
      <c r="G30" s="604"/>
      <c r="H30" s="604"/>
      <c r="I30" s="604"/>
      <c r="J30" s="604"/>
      <c r="K30" s="604"/>
      <c r="L30" s="604"/>
      <c r="M30" s="604"/>
      <c r="N30" s="604"/>
      <c r="O30" s="604"/>
      <c r="P30" s="604"/>
      <c r="Q30" s="604"/>
      <c r="R30" s="604"/>
      <c r="S30" s="604"/>
      <c r="T30" s="604"/>
      <c r="U30" s="604"/>
      <c r="V30" s="604"/>
    </row>
    <row r="31" spans="1:22"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</row>
    <row r="32" spans="1:22"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</row>
    <row r="33" spans="4:22"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604"/>
      <c r="S33" s="604"/>
      <c r="T33" s="604"/>
      <c r="U33" s="604"/>
      <c r="V33" s="604"/>
    </row>
    <row r="34" spans="4:22"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</row>
    <row r="35" spans="4:22">
      <c r="D35" s="604"/>
      <c r="E35" s="604"/>
      <c r="F35" s="604"/>
      <c r="G35" s="604"/>
      <c r="H35" s="604"/>
      <c r="I35" s="604"/>
      <c r="J35" s="604"/>
      <c r="K35" s="604"/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</row>
    <row r="36" spans="4:22">
      <c r="D36" s="604"/>
      <c r="E36" s="604"/>
      <c r="F36" s="604"/>
      <c r="G36" s="604"/>
      <c r="H36" s="604"/>
      <c r="I36" s="604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</row>
    <row r="37" spans="4:22">
      <c r="D37" s="604"/>
      <c r="E37" s="604"/>
      <c r="F37" s="604"/>
      <c r="G37" s="604"/>
      <c r="H37" s="604"/>
      <c r="I37" s="604"/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</row>
    <row r="38" spans="4:22"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604"/>
      <c r="S38" s="604"/>
      <c r="T38" s="604"/>
      <c r="U38" s="604"/>
      <c r="V38" s="604"/>
    </row>
    <row r="39" spans="4:22"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604"/>
      <c r="S39" s="604"/>
      <c r="T39" s="604"/>
      <c r="U39" s="604"/>
      <c r="V39" s="604"/>
    </row>
    <row r="40" spans="4:22"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604"/>
      <c r="S40" s="604"/>
      <c r="T40" s="604"/>
      <c r="U40" s="604"/>
      <c r="V40" s="604"/>
    </row>
    <row r="41" spans="4:22"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604"/>
      <c r="S41" s="604"/>
      <c r="T41" s="604"/>
      <c r="U41" s="604"/>
      <c r="V41" s="604"/>
    </row>
    <row r="42" spans="4:22"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</row>
    <row r="43" spans="4:22">
      <c r="D43" s="604"/>
      <c r="E43" s="604"/>
      <c r="F43" s="604"/>
      <c r="G43" s="604"/>
      <c r="H43" s="604"/>
      <c r="I43" s="604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</row>
    <row r="44" spans="4:22">
      <c r="D44" s="604"/>
      <c r="E44" s="604"/>
      <c r="F44" s="604"/>
      <c r="G44" s="604"/>
      <c r="H44" s="604"/>
      <c r="I44" s="604"/>
      <c r="J44" s="604"/>
      <c r="K44" s="604"/>
      <c r="L44" s="604"/>
      <c r="M44" s="604"/>
      <c r="N44" s="604"/>
      <c r="O44" s="604"/>
      <c r="P44" s="604"/>
      <c r="Q44" s="604"/>
      <c r="R44" s="604"/>
      <c r="S44" s="604"/>
      <c r="T44" s="604"/>
      <c r="U44" s="604"/>
      <c r="V44" s="604"/>
    </row>
    <row r="45" spans="4:22">
      <c r="D45" s="604"/>
      <c r="E45" s="604"/>
      <c r="F45" s="604"/>
      <c r="G45" s="604"/>
      <c r="H45" s="604"/>
      <c r="I45" s="604"/>
      <c r="J45" s="604"/>
      <c r="K45" s="604"/>
      <c r="L45" s="604"/>
      <c r="M45" s="604"/>
      <c r="N45" s="604"/>
      <c r="O45" s="604"/>
      <c r="P45" s="604"/>
      <c r="Q45" s="604"/>
      <c r="R45" s="604"/>
      <c r="S45" s="604"/>
      <c r="T45" s="604"/>
      <c r="U45" s="604"/>
      <c r="V45" s="604"/>
    </row>
    <row r="46" spans="4:22">
      <c r="D46" s="604"/>
      <c r="E46" s="604"/>
      <c r="F46" s="604"/>
      <c r="G46" s="604"/>
      <c r="H46" s="604"/>
      <c r="I46" s="604"/>
      <c r="J46" s="604"/>
      <c r="K46" s="604"/>
      <c r="L46" s="604"/>
      <c r="M46" s="604"/>
      <c r="N46" s="604"/>
      <c r="O46" s="604"/>
      <c r="P46" s="604"/>
      <c r="Q46" s="604"/>
      <c r="R46" s="604"/>
      <c r="S46" s="604"/>
      <c r="T46" s="604"/>
      <c r="U46" s="604"/>
      <c r="V46" s="604"/>
    </row>
    <row r="47" spans="4:22">
      <c r="D47" s="604"/>
      <c r="E47" s="604"/>
      <c r="F47" s="604"/>
      <c r="G47" s="604"/>
      <c r="H47" s="604"/>
      <c r="I47" s="604"/>
      <c r="J47" s="604"/>
      <c r="K47" s="604"/>
      <c r="L47" s="604"/>
      <c r="M47" s="604"/>
      <c r="N47" s="604"/>
      <c r="O47" s="604"/>
      <c r="P47" s="604"/>
      <c r="Q47" s="604"/>
      <c r="R47" s="604"/>
      <c r="S47" s="604"/>
      <c r="T47" s="604"/>
      <c r="U47" s="604"/>
      <c r="V47" s="604"/>
    </row>
    <row r="48" spans="4:22">
      <c r="D48" s="604"/>
      <c r="E48" s="604"/>
      <c r="F48" s="604"/>
      <c r="G48" s="604"/>
      <c r="H48" s="604"/>
      <c r="I48" s="604"/>
      <c r="J48" s="604"/>
      <c r="K48" s="604"/>
      <c r="L48" s="604"/>
      <c r="M48" s="604"/>
      <c r="N48" s="604"/>
      <c r="O48" s="604"/>
      <c r="P48" s="604"/>
      <c r="Q48" s="604"/>
      <c r="R48" s="604"/>
      <c r="S48" s="604"/>
      <c r="T48" s="604"/>
      <c r="U48" s="604"/>
      <c r="V48" s="604"/>
    </row>
    <row r="49" spans="4:22">
      <c r="D49" s="604"/>
      <c r="E49" s="604"/>
      <c r="F49" s="604"/>
      <c r="G49" s="604"/>
      <c r="H49" s="604"/>
      <c r="I49" s="604"/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</row>
    <row r="50" spans="4:22">
      <c r="D50" s="604"/>
      <c r="E50" s="604"/>
      <c r="F50" s="604"/>
      <c r="G50" s="604"/>
      <c r="H50" s="604"/>
      <c r="I50" s="604"/>
      <c r="J50" s="604"/>
      <c r="K50" s="604"/>
      <c r="L50" s="604"/>
      <c r="M50" s="604"/>
      <c r="N50" s="604"/>
      <c r="O50" s="604"/>
      <c r="P50" s="604"/>
      <c r="Q50" s="604"/>
      <c r="R50" s="604"/>
      <c r="S50" s="604"/>
      <c r="T50" s="604"/>
      <c r="U50" s="604"/>
      <c r="V50" s="604"/>
    </row>
    <row r="51" spans="4:22">
      <c r="D51" s="604"/>
      <c r="E51" s="604"/>
      <c r="F51" s="604"/>
      <c r="G51" s="604"/>
      <c r="H51" s="604"/>
      <c r="I51" s="604"/>
      <c r="J51" s="604"/>
      <c r="K51" s="604"/>
      <c r="L51" s="604"/>
      <c r="M51" s="604"/>
      <c r="N51" s="604"/>
      <c r="O51" s="604"/>
      <c r="P51" s="604"/>
      <c r="Q51" s="604"/>
      <c r="R51" s="604"/>
      <c r="S51" s="604"/>
      <c r="T51" s="604"/>
      <c r="U51" s="604"/>
      <c r="V51" s="604"/>
    </row>
    <row r="52" spans="4:22">
      <c r="D52" s="604"/>
      <c r="E52" s="604"/>
      <c r="F52" s="604"/>
      <c r="G52" s="604"/>
      <c r="H52" s="604"/>
      <c r="I52" s="604"/>
      <c r="J52" s="604"/>
      <c r="K52" s="604"/>
      <c r="L52" s="604"/>
      <c r="M52" s="604"/>
      <c r="N52" s="604"/>
      <c r="O52" s="604"/>
      <c r="P52" s="604"/>
      <c r="Q52" s="604"/>
      <c r="R52" s="604"/>
      <c r="S52" s="604"/>
      <c r="T52" s="604"/>
      <c r="U52" s="604"/>
      <c r="V52" s="604"/>
    </row>
    <row r="53" spans="4:22">
      <c r="D53" s="604"/>
      <c r="E53" s="604"/>
      <c r="F53" s="604"/>
      <c r="G53" s="604"/>
      <c r="H53" s="604"/>
      <c r="I53" s="604"/>
      <c r="J53" s="604"/>
      <c r="K53" s="604"/>
      <c r="L53" s="604"/>
      <c r="M53" s="604"/>
      <c r="N53" s="604"/>
      <c r="O53" s="604"/>
      <c r="P53" s="604"/>
      <c r="Q53" s="604"/>
      <c r="R53" s="604"/>
      <c r="S53" s="604"/>
      <c r="T53" s="604"/>
      <c r="U53" s="604"/>
      <c r="V53" s="604"/>
    </row>
    <row r="54" spans="4:22"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  <c r="O54" s="604"/>
      <c r="P54" s="604"/>
      <c r="Q54" s="604"/>
      <c r="R54" s="604"/>
      <c r="S54" s="604"/>
      <c r="T54" s="604"/>
      <c r="U54" s="604"/>
      <c r="V54" s="604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.5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-2.623027343399343E-2</v>
      </c>
      <c r="E3" s="590"/>
    </row>
    <row r="4" spans="1:6" ht="31.5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-3.7396717484565216E-3</v>
      </c>
    </row>
    <row r="5" spans="1:6" ht="31.5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-2.4218413287802939E-2</v>
      </c>
    </row>
    <row r="6" spans="1:6" ht="31.5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-3.2366187635274493E-3</v>
      </c>
    </row>
    <row r="7" spans="1:6" ht="24" customHeight="1">
      <c r="A7" s="547" t="s">
        <v>901</v>
      </c>
      <c r="B7" s="545"/>
      <c r="C7" s="545"/>
      <c r="D7" s="546"/>
    </row>
    <row r="8" spans="1:6" ht="31.5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0.98914853706852723</v>
      </c>
      <c r="F8" s="590"/>
    </row>
    <row r="9" spans="1:6" ht="24" customHeight="1">
      <c r="A9" s="547" t="s">
        <v>904</v>
      </c>
      <c r="B9" s="545"/>
      <c r="C9" s="545"/>
      <c r="D9" s="546"/>
    </row>
    <row r="10" spans="1:6" ht="31.5">
      <c r="A10" s="500">
        <v>6</v>
      </c>
      <c r="B10" s="498" t="s">
        <v>905</v>
      </c>
      <c r="C10" s="499" t="s">
        <v>906</v>
      </c>
      <c r="D10" s="543">
        <f>'1-Баланс'!C94/'1-Баланс'!G79</f>
        <v>2.2413807817033624</v>
      </c>
    </row>
    <row r="11" spans="1:6" ht="63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1.3603003925584571</v>
      </c>
    </row>
    <row r="12" spans="1:6" ht="47.2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0.97072879330943851</v>
      </c>
    </row>
    <row r="13" spans="1:6" ht="31.5">
      <c r="A13" s="500">
        <v>9</v>
      </c>
      <c r="B13" s="498" t="s">
        <v>911</v>
      </c>
      <c r="C13" s="499" t="s">
        <v>912</v>
      </c>
      <c r="D13" s="543">
        <f>'1-Баланс'!C92/'1-Баланс'!G79</f>
        <v>0.96970472776924388</v>
      </c>
      <c r="F13" s="590"/>
    </row>
    <row r="14" spans="1:6" ht="24" customHeight="1">
      <c r="A14" s="547" t="s">
        <v>913</v>
      </c>
      <c r="B14" s="545"/>
      <c r="C14" s="545"/>
      <c r="D14" s="546"/>
    </row>
    <row r="15" spans="1:6" ht="31.5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0.13580319155420645</v>
      </c>
    </row>
    <row r="16" spans="1:6" ht="31.5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0.12339249042417207</v>
      </c>
    </row>
    <row r="17" spans="1:5" ht="24" customHeight="1">
      <c r="A17" s="547" t="s">
        <v>917</v>
      </c>
      <c r="B17" s="545"/>
      <c r="C17" s="545"/>
      <c r="D17" s="546"/>
    </row>
    <row r="18" spans="1:5" ht="31.5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8.6279077382205319E-2</v>
      </c>
    </row>
    <row r="19" spans="1:5" ht="31.5">
      <c r="A19" s="500">
        <v>13</v>
      </c>
      <c r="B19" s="498" t="s">
        <v>920</v>
      </c>
      <c r="C19" s="499" t="s">
        <v>921</v>
      </c>
      <c r="D19" s="543">
        <f>D4/D5</f>
        <v>0.15441439965598092</v>
      </c>
    </row>
    <row r="20" spans="1:5" ht="31.5">
      <c r="A20" s="500">
        <v>14</v>
      </c>
      <c r="B20" s="498" t="s">
        <v>922</v>
      </c>
      <c r="C20" s="499" t="s">
        <v>923</v>
      </c>
      <c r="D20" s="543">
        <f>D6/D5</f>
        <v>0.133642890847746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111</v>
      </c>
      <c r="E21" s="588"/>
    </row>
    <row r="22" spans="1:5" ht="47.25">
      <c r="A22" s="500">
        <v>16</v>
      </c>
      <c r="B22" s="498" t="s">
        <v>926</v>
      </c>
      <c r="C22" s="499" t="s">
        <v>927</v>
      </c>
      <c r="D22" s="548">
        <f>D21/'1-Баланс'!G37</f>
        <v>2.841229049135345E-4</v>
      </c>
    </row>
    <row r="23" spans="1:5" ht="31.5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0.12521267545725223</v>
      </c>
    </row>
    <row r="24" spans="1:5" ht="31.5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8.5387119603680119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2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>Индустриален холдинг България АД</v>
      </c>
      <c r="B3" s="594" t="str">
        <f t="shared" ref="B3:B34" si="1">pdeBulstat</f>
        <v>121631219</v>
      </c>
      <c r="C3" s="598">
        <f t="shared" ref="C3:C34" si="2">endDate</f>
        <v>45838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110333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>Индустриален холдинг България АД</v>
      </c>
      <c r="B4" s="594" t="str">
        <f t="shared" si="1"/>
        <v>121631219</v>
      </c>
      <c r="C4" s="598">
        <f t="shared" si="2"/>
        <v>45838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36743</v>
      </c>
      <c r="I4" s="594"/>
      <c r="J4" s="590"/>
      <c r="K4" s="594"/>
      <c r="L4" s="594"/>
      <c r="M4" s="594"/>
      <c r="N4" s="594"/>
    </row>
    <row r="5" spans="1:14">
      <c r="A5" s="594" t="str">
        <f t="shared" si="0"/>
        <v>Индустриален холдинг България АД</v>
      </c>
      <c r="B5" s="594" t="str">
        <f t="shared" si="1"/>
        <v>121631219</v>
      </c>
      <c r="C5" s="598">
        <f t="shared" si="2"/>
        <v>45838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23368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>Индустриален холдинг България АД</v>
      </c>
      <c r="B6" s="594" t="str">
        <f t="shared" si="1"/>
        <v>121631219</v>
      </c>
      <c r="C6" s="598">
        <f t="shared" si="2"/>
        <v>45838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32012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>Индустриален холдинг България АД</v>
      </c>
      <c r="B7" s="594" t="str">
        <f t="shared" si="1"/>
        <v>121631219</v>
      </c>
      <c r="C7" s="598">
        <f t="shared" si="2"/>
        <v>45838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98196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>Индустриален холдинг България АД</v>
      </c>
      <c r="B8" s="594" t="str">
        <f t="shared" si="1"/>
        <v>121631219</v>
      </c>
      <c r="C8" s="598">
        <f t="shared" si="2"/>
        <v>45838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416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>Индустриален холдинг България АД</v>
      </c>
      <c r="B9" s="594" t="str">
        <f t="shared" si="1"/>
        <v>121631219</v>
      </c>
      <c r="C9" s="598">
        <f t="shared" si="2"/>
        <v>45838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70467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>Индустриален холдинг България АД</v>
      </c>
      <c r="B10" s="594" t="str">
        <f t="shared" si="1"/>
        <v>121631219</v>
      </c>
      <c r="C10" s="598">
        <f t="shared" si="2"/>
        <v>45838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842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>Индустриален холдинг България АД</v>
      </c>
      <c r="B11" s="594" t="str">
        <f t="shared" si="1"/>
        <v>121631219</v>
      </c>
      <c r="C11" s="598">
        <f t="shared" si="2"/>
        <v>45838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372377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>Индустриален холдинг България АД</v>
      </c>
      <c r="B12" s="594" t="str">
        <f t="shared" si="1"/>
        <v>121631219</v>
      </c>
      <c r="C12" s="598">
        <f t="shared" si="2"/>
        <v>45838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15960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>Индустриален холдинг България АД</v>
      </c>
      <c r="B13" s="594" t="str">
        <f t="shared" si="1"/>
        <v>121631219</v>
      </c>
      <c r="C13" s="598">
        <f t="shared" si="2"/>
        <v>45838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0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>Индустриален холдинг България АД</v>
      </c>
      <c r="B14" s="594" t="str">
        <f t="shared" si="1"/>
        <v>121631219</v>
      </c>
      <c r="C14" s="598">
        <f t="shared" si="2"/>
        <v>45838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1610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>Индустриален холдинг България АД</v>
      </c>
      <c r="B15" s="594" t="str">
        <f t="shared" si="1"/>
        <v>121631219</v>
      </c>
      <c r="C15" s="598">
        <f t="shared" si="2"/>
        <v>45838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216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>Индустриален холдинг България АД</v>
      </c>
      <c r="B16" s="594" t="str">
        <f t="shared" si="1"/>
        <v>121631219</v>
      </c>
      <c r="C16" s="598">
        <f t="shared" si="2"/>
        <v>45838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>Индустриален холдинг България АД</v>
      </c>
      <c r="B17" s="594" t="str">
        <f t="shared" si="1"/>
        <v>121631219</v>
      </c>
      <c r="C17" s="598">
        <f t="shared" si="2"/>
        <v>45838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268</v>
      </c>
    </row>
    <row r="18" spans="1:8">
      <c r="A18" s="594" t="str">
        <f t="shared" si="0"/>
        <v>Индустриален холдинг България АД</v>
      </c>
      <c r="B18" s="594" t="str">
        <f t="shared" si="1"/>
        <v>121631219</v>
      </c>
      <c r="C18" s="598">
        <f t="shared" si="2"/>
        <v>45838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2094</v>
      </c>
    </row>
    <row r="19" spans="1:8">
      <c r="A19" s="594" t="str">
        <f t="shared" si="0"/>
        <v>Индустриален холдинг България АД</v>
      </c>
      <c r="B19" s="594" t="str">
        <f t="shared" si="1"/>
        <v>121631219</v>
      </c>
      <c r="C19" s="598">
        <f t="shared" si="2"/>
        <v>45838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4329</v>
      </c>
    </row>
    <row r="20" spans="1:8">
      <c r="A20" s="594" t="str">
        <f t="shared" si="0"/>
        <v>Индустриален холдинг България АД</v>
      </c>
      <c r="B20" s="594" t="str">
        <f t="shared" si="1"/>
        <v>121631219</v>
      </c>
      <c r="C20" s="598">
        <f t="shared" si="2"/>
        <v>45838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>Индустриален холдинг България АД</v>
      </c>
      <c r="B21" s="594" t="str">
        <f t="shared" si="1"/>
        <v>121631219</v>
      </c>
      <c r="C21" s="598">
        <f t="shared" si="2"/>
        <v>45838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4329</v>
      </c>
    </row>
    <row r="22" spans="1:8">
      <c r="A22" s="594" t="str">
        <f t="shared" si="0"/>
        <v>Индустриален холдинг България АД</v>
      </c>
      <c r="B22" s="594" t="str">
        <f t="shared" si="1"/>
        <v>121631219</v>
      </c>
      <c r="C22" s="598">
        <f t="shared" si="2"/>
        <v>45838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23</v>
      </c>
    </row>
    <row r="23" spans="1:8">
      <c r="A23" s="594" t="str">
        <f t="shared" si="0"/>
        <v>Индустриален холдинг България АД</v>
      </c>
      <c r="B23" s="594" t="str">
        <f t="shared" si="1"/>
        <v>121631219</v>
      </c>
      <c r="C23" s="598">
        <f t="shared" si="2"/>
        <v>45838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>Индустриален холдинг България АД</v>
      </c>
      <c r="B24" s="594" t="str">
        <f t="shared" si="1"/>
        <v>121631219</v>
      </c>
      <c r="C24" s="598">
        <f t="shared" si="2"/>
        <v>45838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>Индустриален холдинг България АД</v>
      </c>
      <c r="B25" s="594" t="str">
        <f t="shared" si="1"/>
        <v>121631219</v>
      </c>
      <c r="C25" s="598">
        <f t="shared" si="2"/>
        <v>45838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23</v>
      </c>
    </row>
    <row r="26" spans="1:8">
      <c r="A26" s="594" t="str">
        <f t="shared" si="0"/>
        <v>Индустриален холдинг България АД</v>
      </c>
      <c r="B26" s="594" t="str">
        <f t="shared" si="1"/>
        <v>121631219</v>
      </c>
      <c r="C26" s="598">
        <f t="shared" si="2"/>
        <v>45838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0</v>
      </c>
    </row>
    <row r="27" spans="1:8">
      <c r="A27" s="594" t="str">
        <f t="shared" si="0"/>
        <v>Индустриален холдинг България АД</v>
      </c>
      <c r="B27" s="594" t="str">
        <f t="shared" si="1"/>
        <v>121631219</v>
      </c>
      <c r="C27" s="598">
        <f t="shared" si="2"/>
        <v>45838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>Индустриален холдинг България АД</v>
      </c>
      <c r="B28" s="594" t="str">
        <f t="shared" si="1"/>
        <v>121631219</v>
      </c>
      <c r="C28" s="598">
        <f t="shared" si="2"/>
        <v>45838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>Индустриален холдинг България АД</v>
      </c>
      <c r="B29" s="594" t="str">
        <f t="shared" si="1"/>
        <v>121631219</v>
      </c>
      <c r="C29" s="598">
        <f t="shared" si="2"/>
        <v>45838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>Индустриален холдинг България АД</v>
      </c>
      <c r="B30" s="594" t="str">
        <f t="shared" si="1"/>
        <v>121631219</v>
      </c>
      <c r="C30" s="598">
        <f t="shared" si="2"/>
        <v>45838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>Индустриален холдинг България АД</v>
      </c>
      <c r="B31" s="594" t="str">
        <f t="shared" si="1"/>
        <v>121631219</v>
      </c>
      <c r="C31" s="598">
        <f t="shared" si="2"/>
        <v>45838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>Индустриален холдинг България АД</v>
      </c>
      <c r="B32" s="594" t="str">
        <f t="shared" si="1"/>
        <v>121631219</v>
      </c>
      <c r="C32" s="598">
        <f t="shared" si="2"/>
        <v>45838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3977</v>
      </c>
    </row>
    <row r="33" spans="1:8">
      <c r="A33" s="594" t="str">
        <f t="shared" si="0"/>
        <v>Индустриален холдинг България АД</v>
      </c>
      <c r="B33" s="594" t="str">
        <f t="shared" si="1"/>
        <v>121631219</v>
      </c>
      <c r="C33" s="598">
        <f t="shared" si="2"/>
        <v>45838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4000</v>
      </c>
    </row>
    <row r="34" spans="1:8">
      <c r="A34" s="594" t="str">
        <f t="shared" si="0"/>
        <v>Индустриален холдинг България АД</v>
      </c>
      <c r="B34" s="594" t="str">
        <f t="shared" si="1"/>
        <v>121631219</v>
      </c>
      <c r="C34" s="598">
        <f t="shared" si="2"/>
        <v>45838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56</v>
      </c>
    </row>
    <row r="35" spans="1:8">
      <c r="A35" s="594" t="str">
        <f t="shared" ref="A35:A66" si="3">pdeName</f>
        <v>Индустриален холдинг България АД</v>
      </c>
      <c r="B35" s="594" t="str">
        <f t="shared" ref="B35:B66" si="4">pdeBulstat</f>
        <v>121631219</v>
      </c>
      <c r="C35" s="598">
        <f t="shared" ref="C35:C66" si="5">endDate</f>
        <v>45838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>Индустриален холдинг България АД</v>
      </c>
      <c r="B36" s="594" t="str">
        <f t="shared" si="4"/>
        <v>121631219</v>
      </c>
      <c r="C36" s="598">
        <f t="shared" si="5"/>
        <v>45838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>Индустриален холдинг България АД</v>
      </c>
      <c r="B37" s="594" t="str">
        <f t="shared" si="4"/>
        <v>121631219</v>
      </c>
      <c r="C37" s="598">
        <f t="shared" si="5"/>
        <v>45838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5</v>
      </c>
    </row>
    <row r="38" spans="1:8">
      <c r="A38" s="594" t="str">
        <f t="shared" si="3"/>
        <v>Индустриален холдинг България АД</v>
      </c>
      <c r="B38" s="594" t="str">
        <f t="shared" si="4"/>
        <v>121631219</v>
      </c>
      <c r="C38" s="598">
        <f t="shared" si="5"/>
        <v>45838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61</v>
      </c>
    </row>
    <row r="39" spans="1:8">
      <c r="A39" s="594" t="str">
        <f t="shared" si="3"/>
        <v>Индустриален холдинг България АД</v>
      </c>
      <c r="B39" s="594" t="str">
        <f t="shared" si="4"/>
        <v>121631219</v>
      </c>
      <c r="C39" s="598">
        <f t="shared" si="5"/>
        <v>45838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0</v>
      </c>
    </row>
    <row r="40" spans="1:8">
      <c r="A40" s="594" t="str">
        <f t="shared" si="3"/>
        <v>Индустриален холдинг България АД</v>
      </c>
      <c r="B40" s="594" t="str">
        <f t="shared" si="4"/>
        <v>121631219</v>
      </c>
      <c r="C40" s="598">
        <f t="shared" si="5"/>
        <v>45838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47</v>
      </c>
    </row>
    <row r="41" spans="1:8">
      <c r="A41" s="594" t="str">
        <f t="shared" si="3"/>
        <v>Индустриален холдинг България АД</v>
      </c>
      <c r="B41" s="594" t="str">
        <f t="shared" si="4"/>
        <v>121631219</v>
      </c>
      <c r="C41" s="598">
        <f t="shared" si="5"/>
        <v>45838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398868</v>
      </c>
    </row>
    <row r="42" spans="1:8">
      <c r="A42" s="594" t="str">
        <f t="shared" si="3"/>
        <v>Индустриален холдинг България АД</v>
      </c>
      <c r="B42" s="594" t="str">
        <f t="shared" si="4"/>
        <v>121631219</v>
      </c>
      <c r="C42" s="598">
        <f t="shared" si="5"/>
        <v>45838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11711</v>
      </c>
    </row>
    <row r="43" spans="1:8">
      <c r="A43" s="594" t="str">
        <f t="shared" si="3"/>
        <v>Индустриален холдинг България АД</v>
      </c>
      <c r="B43" s="594" t="str">
        <f t="shared" si="4"/>
        <v>121631219</v>
      </c>
      <c r="C43" s="598">
        <f t="shared" si="5"/>
        <v>45838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2107</v>
      </c>
    </row>
    <row r="44" spans="1:8">
      <c r="A44" s="594" t="str">
        <f t="shared" si="3"/>
        <v>Индустриален холдинг България АД</v>
      </c>
      <c r="B44" s="594" t="str">
        <f t="shared" si="4"/>
        <v>121631219</v>
      </c>
      <c r="C44" s="598">
        <f t="shared" si="5"/>
        <v>45838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0</v>
      </c>
    </row>
    <row r="45" spans="1:8">
      <c r="A45" s="594" t="str">
        <f t="shared" si="3"/>
        <v>Индустриален холдинг България АД</v>
      </c>
      <c r="B45" s="594" t="str">
        <f t="shared" si="4"/>
        <v>121631219</v>
      </c>
      <c r="C45" s="598">
        <f t="shared" si="5"/>
        <v>45838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5896</v>
      </c>
    </row>
    <row r="46" spans="1:8">
      <c r="A46" s="594" t="str">
        <f t="shared" si="3"/>
        <v>Индустриален холдинг България АД</v>
      </c>
      <c r="B46" s="594" t="str">
        <f t="shared" si="4"/>
        <v>121631219</v>
      </c>
      <c r="C46" s="598">
        <f t="shared" si="5"/>
        <v>45838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0</v>
      </c>
    </row>
    <row r="47" spans="1:8">
      <c r="A47" s="594" t="str">
        <f t="shared" si="3"/>
        <v>Индустриален холдинг България АД</v>
      </c>
      <c r="B47" s="594" t="str">
        <f t="shared" si="4"/>
        <v>121631219</v>
      </c>
      <c r="C47" s="598">
        <f t="shared" si="5"/>
        <v>45838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>Индустриален холдинг България АД</v>
      </c>
      <c r="B48" s="594" t="str">
        <f t="shared" si="4"/>
        <v>121631219</v>
      </c>
      <c r="C48" s="598">
        <f t="shared" si="5"/>
        <v>45838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19714</v>
      </c>
    </row>
    <row r="49" spans="1:8">
      <c r="A49" s="594" t="str">
        <f t="shared" si="3"/>
        <v>Индустриален холдинг България АД</v>
      </c>
      <c r="B49" s="594" t="str">
        <f t="shared" si="4"/>
        <v>121631219</v>
      </c>
      <c r="C49" s="598">
        <f t="shared" si="5"/>
        <v>45838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100</v>
      </c>
    </row>
    <row r="50" spans="1:8">
      <c r="A50" s="594" t="str">
        <f t="shared" si="3"/>
        <v>Индустриален холдинг България АД</v>
      </c>
      <c r="B50" s="594" t="str">
        <f t="shared" si="4"/>
        <v>121631219</v>
      </c>
      <c r="C50" s="598">
        <f t="shared" si="5"/>
        <v>45838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7312</v>
      </c>
    </row>
    <row r="51" spans="1:8">
      <c r="A51" s="594" t="str">
        <f t="shared" si="3"/>
        <v>Индустриален холдинг България АД</v>
      </c>
      <c r="B51" s="594" t="str">
        <f t="shared" si="4"/>
        <v>121631219</v>
      </c>
      <c r="C51" s="598">
        <f t="shared" si="5"/>
        <v>45838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163</v>
      </c>
    </row>
    <row r="52" spans="1:8">
      <c r="A52" s="594" t="str">
        <f t="shared" si="3"/>
        <v>Индустриален холдинг България АД</v>
      </c>
      <c r="B52" s="594" t="str">
        <f t="shared" si="4"/>
        <v>121631219</v>
      </c>
      <c r="C52" s="598">
        <f t="shared" si="5"/>
        <v>45838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0</v>
      </c>
    </row>
    <row r="53" spans="1:8">
      <c r="A53" s="594" t="str">
        <f t="shared" si="3"/>
        <v>Индустриален холдинг България АД</v>
      </c>
      <c r="B53" s="594" t="str">
        <f t="shared" si="4"/>
        <v>121631219</v>
      </c>
      <c r="C53" s="598">
        <f t="shared" si="5"/>
        <v>45838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20</v>
      </c>
    </row>
    <row r="54" spans="1:8">
      <c r="A54" s="594" t="str">
        <f t="shared" si="3"/>
        <v>Индустриален холдинг България АД</v>
      </c>
      <c r="B54" s="594" t="str">
        <f t="shared" si="4"/>
        <v>121631219</v>
      </c>
      <c r="C54" s="598">
        <f t="shared" si="5"/>
        <v>45838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1092</v>
      </c>
    </row>
    <row r="55" spans="1:8">
      <c r="A55" s="594" t="str">
        <f t="shared" si="3"/>
        <v>Индустриален холдинг България АД</v>
      </c>
      <c r="B55" s="594" t="str">
        <f t="shared" si="4"/>
        <v>121631219</v>
      </c>
      <c r="C55" s="598">
        <f t="shared" si="5"/>
        <v>45838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7</v>
      </c>
    </row>
    <row r="56" spans="1:8">
      <c r="A56" s="594" t="str">
        <f t="shared" si="3"/>
        <v>Индустриален холдинг България АД</v>
      </c>
      <c r="B56" s="594" t="str">
        <f t="shared" si="4"/>
        <v>121631219</v>
      </c>
      <c r="C56" s="598">
        <f t="shared" si="5"/>
        <v>45838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436</v>
      </c>
    </row>
    <row r="57" spans="1:8">
      <c r="A57" s="594" t="str">
        <f t="shared" si="3"/>
        <v>Индустриален холдинг България АД</v>
      </c>
      <c r="B57" s="594" t="str">
        <f t="shared" si="4"/>
        <v>121631219</v>
      </c>
      <c r="C57" s="598">
        <f t="shared" si="5"/>
        <v>45838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9130</v>
      </c>
    </row>
    <row r="58" spans="1:8">
      <c r="A58" s="594" t="str">
        <f t="shared" si="3"/>
        <v>Индустриален холдинг България АД</v>
      </c>
      <c r="B58" s="594" t="str">
        <f t="shared" si="4"/>
        <v>121631219</v>
      </c>
      <c r="C58" s="598">
        <f t="shared" si="5"/>
        <v>45838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0</v>
      </c>
    </row>
    <row r="59" spans="1:8">
      <c r="A59" s="594" t="str">
        <f t="shared" si="3"/>
        <v>Индустриален холдинг България АД</v>
      </c>
      <c r="B59" s="594" t="str">
        <f t="shared" si="4"/>
        <v>121631219</v>
      </c>
      <c r="C59" s="598">
        <f t="shared" si="5"/>
        <v>45838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0</v>
      </c>
    </row>
    <row r="60" spans="1:8">
      <c r="A60" s="594" t="str">
        <f t="shared" si="3"/>
        <v>Индустриален холдинг България АД</v>
      </c>
      <c r="B60" s="594" t="str">
        <f t="shared" si="4"/>
        <v>121631219</v>
      </c>
      <c r="C60" s="598">
        <f t="shared" si="5"/>
        <v>45838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>Индустриален холдинг България АД</v>
      </c>
      <c r="B61" s="594" t="str">
        <f t="shared" si="4"/>
        <v>121631219</v>
      </c>
      <c r="C61" s="598">
        <f t="shared" si="5"/>
        <v>45838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0</v>
      </c>
    </row>
    <row r="62" spans="1:8">
      <c r="A62" s="594" t="str">
        <f t="shared" si="3"/>
        <v>Индустриален холдинг България АД</v>
      </c>
      <c r="B62" s="594" t="str">
        <f t="shared" si="4"/>
        <v>121631219</v>
      </c>
      <c r="C62" s="598">
        <f t="shared" si="5"/>
        <v>45838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0</v>
      </c>
    </row>
    <row r="63" spans="1:8">
      <c r="A63" s="594" t="str">
        <f t="shared" si="3"/>
        <v>Индустриален холдинг България АД</v>
      </c>
      <c r="B63" s="594" t="str">
        <f t="shared" si="4"/>
        <v>121631219</v>
      </c>
      <c r="C63" s="598">
        <f t="shared" si="5"/>
        <v>45838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24</v>
      </c>
    </row>
    <row r="64" spans="1:8">
      <c r="A64" s="594" t="str">
        <f t="shared" si="3"/>
        <v>Индустриален холдинг България АД</v>
      </c>
      <c r="B64" s="594" t="str">
        <f t="shared" si="4"/>
        <v>121631219</v>
      </c>
      <c r="C64" s="598">
        <f t="shared" si="5"/>
        <v>45838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24</v>
      </c>
    </row>
    <row r="65" spans="1:8">
      <c r="A65" s="594" t="str">
        <f t="shared" si="3"/>
        <v>Индустриален холдинг България АД</v>
      </c>
      <c r="B65" s="594" t="str">
        <f t="shared" si="4"/>
        <v>121631219</v>
      </c>
      <c r="C65" s="598">
        <f t="shared" si="5"/>
        <v>45838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233</v>
      </c>
    </row>
    <row r="66" spans="1:8">
      <c r="A66" s="594" t="str">
        <f t="shared" si="3"/>
        <v>Индустриален холдинг България АД</v>
      </c>
      <c r="B66" s="594" t="str">
        <f t="shared" si="4"/>
        <v>121631219</v>
      </c>
      <c r="C66" s="598">
        <f t="shared" si="5"/>
        <v>45838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22493</v>
      </c>
    </row>
    <row r="67" spans="1:8">
      <c r="A67" s="594" t="str">
        <f t="shared" ref="A67:A98" si="6">pdeName</f>
        <v>Индустриален холдинг България АД</v>
      </c>
      <c r="B67" s="594" t="str">
        <f t="shared" ref="B67:B98" si="7">pdeBulstat</f>
        <v>121631219</v>
      </c>
      <c r="C67" s="598">
        <f t="shared" ref="C67:C98" si="8">endDate</f>
        <v>45838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0</v>
      </c>
    </row>
    <row r="68" spans="1:8">
      <c r="A68" s="594" t="str">
        <f t="shared" si="6"/>
        <v>Индустриален холдинг България АД</v>
      </c>
      <c r="B68" s="594" t="str">
        <f t="shared" si="7"/>
        <v>121631219</v>
      </c>
      <c r="C68" s="598">
        <f t="shared" si="8"/>
        <v>45838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>Индустриален холдинг България АД</v>
      </c>
      <c r="B69" s="594" t="str">
        <f t="shared" si="7"/>
        <v>121631219</v>
      </c>
      <c r="C69" s="598">
        <f t="shared" si="8"/>
        <v>45838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22726</v>
      </c>
    </row>
    <row r="70" spans="1:8">
      <c r="A70" s="594" t="str">
        <f t="shared" si="6"/>
        <v>Индустриален холдинг България АД</v>
      </c>
      <c r="B70" s="594" t="str">
        <f t="shared" si="7"/>
        <v>121631219</v>
      </c>
      <c r="C70" s="598">
        <f t="shared" si="8"/>
        <v>45838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935</v>
      </c>
    </row>
    <row r="71" spans="1:8">
      <c r="A71" s="594" t="str">
        <f t="shared" si="6"/>
        <v>Индустриален холдинг България АД</v>
      </c>
      <c r="B71" s="594" t="str">
        <f t="shared" si="7"/>
        <v>121631219</v>
      </c>
      <c r="C71" s="598">
        <f t="shared" si="8"/>
        <v>45838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52529</v>
      </c>
    </row>
    <row r="72" spans="1:8">
      <c r="A72" s="594" t="str">
        <f t="shared" si="6"/>
        <v>Индустриален холдинг България АД</v>
      </c>
      <c r="B72" s="594" t="str">
        <f t="shared" si="7"/>
        <v>121631219</v>
      </c>
      <c r="C72" s="598">
        <f t="shared" si="8"/>
        <v>45838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451397</v>
      </c>
    </row>
    <row r="73" spans="1:8">
      <c r="A73" s="594" t="str">
        <f t="shared" si="6"/>
        <v>Индустриален холдинг България АД</v>
      </c>
      <c r="B73" s="594" t="str">
        <f t="shared" si="7"/>
        <v>121631219</v>
      </c>
      <c r="C73" s="598">
        <f t="shared" si="8"/>
        <v>45838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96808</v>
      </c>
    </row>
    <row r="74" spans="1:8">
      <c r="A74" s="594" t="str">
        <f t="shared" si="6"/>
        <v>Индустриален холдинг България АД</v>
      </c>
      <c r="B74" s="594" t="str">
        <f t="shared" si="7"/>
        <v>121631219</v>
      </c>
      <c r="C74" s="598">
        <f t="shared" si="8"/>
        <v>45838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0</v>
      </c>
    </row>
    <row r="75" spans="1:8">
      <c r="A75" s="594" t="str">
        <f t="shared" si="6"/>
        <v>Индустриален холдинг България АД</v>
      </c>
      <c r="B75" s="594" t="str">
        <f t="shared" si="7"/>
        <v>121631219</v>
      </c>
      <c r="C75" s="598">
        <f t="shared" si="8"/>
        <v>45838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>Индустриален холдинг България АД</v>
      </c>
      <c r="B76" s="594" t="str">
        <f t="shared" si="7"/>
        <v>121631219</v>
      </c>
      <c r="C76" s="598">
        <f t="shared" si="8"/>
        <v>45838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0</v>
      </c>
    </row>
    <row r="77" spans="1:8">
      <c r="A77" s="594" t="str">
        <f t="shared" si="6"/>
        <v>Индустриален холдинг България АД</v>
      </c>
      <c r="B77" s="594" t="str">
        <f t="shared" si="7"/>
        <v>121631219</v>
      </c>
      <c r="C77" s="598">
        <f t="shared" si="8"/>
        <v>45838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>Индустриален холдинг България АД</v>
      </c>
      <c r="B78" s="594" t="str">
        <f t="shared" si="7"/>
        <v>121631219</v>
      </c>
      <c r="C78" s="598">
        <f t="shared" si="8"/>
        <v>45838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>Индустриален холдинг България АД</v>
      </c>
      <c r="B79" s="594" t="str">
        <f t="shared" si="7"/>
        <v>121631219</v>
      </c>
      <c r="C79" s="598">
        <f t="shared" si="8"/>
        <v>45838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96808</v>
      </c>
    </row>
    <row r="80" spans="1:8">
      <c r="A80" s="594" t="str">
        <f t="shared" si="6"/>
        <v>Индустриален холдинг България АД</v>
      </c>
      <c r="B80" s="594" t="str">
        <f t="shared" si="7"/>
        <v>121631219</v>
      </c>
      <c r="C80" s="598">
        <f t="shared" si="8"/>
        <v>45838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31016</v>
      </c>
    </row>
    <row r="81" spans="1:8">
      <c r="A81" s="594" t="str">
        <f t="shared" si="6"/>
        <v>Индустриален холдинг България АД</v>
      </c>
      <c r="B81" s="594" t="str">
        <f t="shared" si="7"/>
        <v>121631219</v>
      </c>
      <c r="C81" s="598">
        <f t="shared" si="8"/>
        <v>45838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80548</v>
      </c>
    </row>
    <row r="82" spans="1:8">
      <c r="A82" s="594" t="str">
        <f t="shared" si="6"/>
        <v>Индустриален холдинг България АД</v>
      </c>
      <c r="B82" s="594" t="str">
        <f t="shared" si="7"/>
        <v>121631219</v>
      </c>
      <c r="C82" s="598">
        <f t="shared" si="8"/>
        <v>45838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16226</v>
      </c>
    </row>
    <row r="83" spans="1:8">
      <c r="A83" s="594" t="str">
        <f t="shared" si="6"/>
        <v>Индустриален холдинг България АД</v>
      </c>
      <c r="B83" s="594" t="str">
        <f t="shared" si="7"/>
        <v>121631219</v>
      </c>
      <c r="C83" s="598">
        <f t="shared" si="8"/>
        <v>45838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4223</v>
      </c>
    </row>
    <row r="84" spans="1:8">
      <c r="A84" s="594" t="str">
        <f t="shared" si="6"/>
        <v>Индустриален холдинг България АД</v>
      </c>
      <c r="B84" s="594" t="str">
        <f t="shared" si="7"/>
        <v>121631219</v>
      </c>
      <c r="C84" s="598">
        <f t="shared" si="8"/>
        <v>45838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>Индустриален холдинг България АД</v>
      </c>
      <c r="B85" s="594" t="str">
        <f t="shared" si="7"/>
        <v>121631219</v>
      </c>
      <c r="C85" s="598">
        <f t="shared" si="8"/>
        <v>45838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12003</v>
      </c>
    </row>
    <row r="86" spans="1:8">
      <c r="A86" s="594" t="str">
        <f t="shared" si="6"/>
        <v>Индустриален холдинг България АД</v>
      </c>
      <c r="B86" s="594" t="str">
        <f t="shared" si="7"/>
        <v>121631219</v>
      </c>
      <c r="C86" s="598">
        <f t="shared" si="8"/>
        <v>45838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127790</v>
      </c>
    </row>
    <row r="87" spans="1:8">
      <c r="A87" s="594" t="str">
        <f t="shared" si="6"/>
        <v>Индустриален холдинг България АД</v>
      </c>
      <c r="B87" s="594" t="str">
        <f t="shared" si="7"/>
        <v>121631219</v>
      </c>
      <c r="C87" s="598">
        <f t="shared" si="8"/>
        <v>45838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167539</v>
      </c>
    </row>
    <row r="88" spans="1:8">
      <c r="A88" s="594" t="str">
        <f t="shared" si="6"/>
        <v>Индустриален холдинг България АД</v>
      </c>
      <c r="B88" s="594" t="str">
        <f t="shared" si="7"/>
        <v>121631219</v>
      </c>
      <c r="C88" s="598">
        <f t="shared" si="8"/>
        <v>45838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167539</v>
      </c>
    </row>
    <row r="89" spans="1:8">
      <c r="A89" s="594" t="str">
        <f t="shared" si="6"/>
        <v>Индустриален холдинг България АД</v>
      </c>
      <c r="B89" s="594" t="str">
        <f t="shared" si="7"/>
        <v>121631219</v>
      </c>
      <c r="C89" s="598">
        <f t="shared" si="8"/>
        <v>45838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0</v>
      </c>
    </row>
    <row r="90" spans="1:8">
      <c r="A90" s="594" t="str">
        <f t="shared" si="6"/>
        <v>Индустриален холдинг България АД</v>
      </c>
      <c r="B90" s="594" t="str">
        <f t="shared" si="7"/>
        <v>121631219</v>
      </c>
      <c r="C90" s="598">
        <f t="shared" si="8"/>
        <v>45838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>Индустриален холдинг България АД</v>
      </c>
      <c r="B91" s="594" t="str">
        <f t="shared" si="7"/>
        <v>121631219</v>
      </c>
      <c r="C91" s="598">
        <f t="shared" si="8"/>
        <v>45838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0</v>
      </c>
    </row>
    <row r="92" spans="1:8">
      <c r="A92" s="594" t="str">
        <f t="shared" si="6"/>
        <v>Индустриален холдинг България АД</v>
      </c>
      <c r="B92" s="594" t="str">
        <f t="shared" si="7"/>
        <v>121631219</v>
      </c>
      <c r="C92" s="598">
        <f t="shared" si="8"/>
        <v>45838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-1461</v>
      </c>
    </row>
    <row r="93" spans="1:8">
      <c r="A93" s="594" t="str">
        <f t="shared" si="6"/>
        <v>Индустриален холдинг България АД</v>
      </c>
      <c r="B93" s="594" t="str">
        <f t="shared" si="7"/>
        <v>121631219</v>
      </c>
      <c r="C93" s="598">
        <f t="shared" si="8"/>
        <v>45838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166078</v>
      </c>
    </row>
    <row r="94" spans="1:8">
      <c r="A94" s="594" t="str">
        <f t="shared" si="6"/>
        <v>Индустриален холдинг България АД</v>
      </c>
      <c r="B94" s="594" t="str">
        <f t="shared" si="7"/>
        <v>121631219</v>
      </c>
      <c r="C94" s="598">
        <f t="shared" si="8"/>
        <v>45838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390676</v>
      </c>
    </row>
    <row r="95" spans="1:8">
      <c r="A95" s="594" t="str">
        <f t="shared" si="6"/>
        <v>Индустриален холдинг България АД</v>
      </c>
      <c r="B95" s="594" t="str">
        <f t="shared" si="7"/>
        <v>121631219</v>
      </c>
      <c r="C95" s="598">
        <f t="shared" si="8"/>
        <v>45838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395</v>
      </c>
    </row>
    <row r="96" spans="1:8">
      <c r="A96" s="594" t="str">
        <f t="shared" si="6"/>
        <v>Индустриален холдинг България АД</v>
      </c>
      <c r="B96" s="594" t="str">
        <f t="shared" si="7"/>
        <v>121631219</v>
      </c>
      <c r="C96" s="598">
        <f t="shared" si="8"/>
        <v>45838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10511</v>
      </c>
    </row>
    <row r="97" spans="1:8">
      <c r="A97" s="594" t="str">
        <f t="shared" si="6"/>
        <v>Индустриален холдинг България АД</v>
      </c>
      <c r="B97" s="594" t="str">
        <f t="shared" si="7"/>
        <v>121631219</v>
      </c>
      <c r="C97" s="598">
        <f t="shared" si="8"/>
        <v>45838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10442</v>
      </c>
    </row>
    <row r="98" spans="1:8">
      <c r="A98" s="594" t="str">
        <f t="shared" si="6"/>
        <v>Индустриален холдинг България АД</v>
      </c>
      <c r="B98" s="594" t="str">
        <f t="shared" si="7"/>
        <v>121631219</v>
      </c>
      <c r="C98" s="598">
        <f t="shared" si="8"/>
        <v>45838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>Индустриален холдинг България АД</v>
      </c>
      <c r="B99" s="594" t="str">
        <f t="shared" ref="B99:B125" si="10">pdeBulstat</f>
        <v>121631219</v>
      </c>
      <c r="C99" s="598">
        <f t="shared" ref="C99:C125" si="11">endDate</f>
        <v>45838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>Индустриален холдинг България АД</v>
      </c>
      <c r="B100" s="594" t="str">
        <f t="shared" si="10"/>
        <v>121631219</v>
      </c>
      <c r="C100" s="598">
        <f t="shared" si="11"/>
        <v>45838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0</v>
      </c>
    </row>
    <row r="101" spans="1:8">
      <c r="A101" s="594" t="str">
        <f t="shared" si="9"/>
        <v>Индустриален холдинг България АД</v>
      </c>
      <c r="B101" s="594" t="str">
        <f t="shared" si="10"/>
        <v>121631219</v>
      </c>
      <c r="C101" s="598">
        <f t="shared" si="11"/>
        <v>45838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1888</v>
      </c>
    </row>
    <row r="102" spans="1:8">
      <c r="A102" s="594" t="str">
        <f t="shared" si="9"/>
        <v>Индустриален холдинг България АД</v>
      </c>
      <c r="B102" s="594" t="str">
        <f t="shared" si="10"/>
        <v>121631219</v>
      </c>
      <c r="C102" s="598">
        <f t="shared" si="11"/>
        <v>45838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22841</v>
      </c>
    </row>
    <row r="103" spans="1:8">
      <c r="A103" s="594" t="str">
        <f t="shared" si="9"/>
        <v>Индустриален холдинг България АД</v>
      </c>
      <c r="B103" s="594" t="str">
        <f t="shared" si="10"/>
        <v>121631219</v>
      </c>
      <c r="C103" s="598">
        <f t="shared" si="11"/>
        <v>45838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1359</v>
      </c>
    </row>
    <row r="104" spans="1:8">
      <c r="A104" s="594" t="str">
        <f t="shared" si="9"/>
        <v>Индустриален холдинг България АД</v>
      </c>
      <c r="B104" s="594" t="str">
        <f t="shared" si="10"/>
        <v>121631219</v>
      </c>
      <c r="C104" s="598">
        <f t="shared" si="11"/>
        <v>45838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0</v>
      </c>
    </row>
    <row r="105" spans="1:8">
      <c r="A105" s="594" t="str">
        <f t="shared" si="9"/>
        <v>Индустриален холдинг България АД</v>
      </c>
      <c r="B105" s="594" t="str">
        <f t="shared" si="10"/>
        <v>121631219</v>
      </c>
      <c r="C105" s="598">
        <f t="shared" si="11"/>
        <v>45838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11639</v>
      </c>
    </row>
    <row r="106" spans="1:8">
      <c r="A106" s="594" t="str">
        <f t="shared" si="9"/>
        <v>Индустриален холдинг България АД</v>
      </c>
      <c r="B106" s="594" t="str">
        <f t="shared" si="10"/>
        <v>121631219</v>
      </c>
      <c r="C106" s="598">
        <f t="shared" si="11"/>
        <v>45838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1051</v>
      </c>
    </row>
    <row r="107" spans="1:8">
      <c r="A107" s="594" t="str">
        <f t="shared" si="9"/>
        <v>Индустриален холдинг България АД</v>
      </c>
      <c r="B107" s="594" t="str">
        <f t="shared" si="10"/>
        <v>121631219</v>
      </c>
      <c r="C107" s="598">
        <f t="shared" si="11"/>
        <v>45838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36890</v>
      </c>
    </row>
    <row r="108" spans="1:8">
      <c r="A108" s="594" t="str">
        <f t="shared" si="9"/>
        <v>Индустриален холдинг България АД</v>
      </c>
      <c r="B108" s="594" t="str">
        <f t="shared" si="10"/>
        <v>121631219</v>
      </c>
      <c r="C108" s="598">
        <f t="shared" si="11"/>
        <v>45838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4333</v>
      </c>
    </row>
    <row r="109" spans="1:8">
      <c r="A109" s="594" t="str">
        <f t="shared" si="9"/>
        <v>Индустриален холдинг България АД</v>
      </c>
      <c r="B109" s="594" t="str">
        <f t="shared" si="10"/>
        <v>121631219</v>
      </c>
      <c r="C109" s="598">
        <f t="shared" si="11"/>
        <v>45838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0</v>
      </c>
    </row>
    <row r="110" spans="1:8">
      <c r="A110" s="594" t="str">
        <f t="shared" si="9"/>
        <v>Индустриален холдинг България АД</v>
      </c>
      <c r="B110" s="594" t="str">
        <f t="shared" si="10"/>
        <v>121631219</v>
      </c>
      <c r="C110" s="598">
        <f t="shared" si="11"/>
        <v>45838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17198</v>
      </c>
    </row>
    <row r="111" spans="1:8">
      <c r="A111" s="594" t="str">
        <f t="shared" si="9"/>
        <v>Индустриален холдинг България АД</v>
      </c>
      <c r="B111" s="594" t="str">
        <f t="shared" si="10"/>
        <v>121631219</v>
      </c>
      <c r="C111" s="598">
        <f t="shared" si="11"/>
        <v>45838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86</v>
      </c>
    </row>
    <row r="112" spans="1:8">
      <c r="A112" s="594" t="str">
        <f t="shared" si="9"/>
        <v>Индустриален холдинг България АД</v>
      </c>
      <c r="B112" s="594" t="str">
        <f t="shared" si="10"/>
        <v>121631219</v>
      </c>
      <c r="C112" s="598">
        <f t="shared" si="11"/>
        <v>45838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0</v>
      </c>
    </row>
    <row r="113" spans="1:8">
      <c r="A113" s="594" t="str">
        <f t="shared" si="9"/>
        <v>Индустриален холдинг България АД</v>
      </c>
      <c r="B113" s="594" t="str">
        <f t="shared" si="10"/>
        <v>121631219</v>
      </c>
      <c r="C113" s="598">
        <f t="shared" si="11"/>
        <v>45838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8124</v>
      </c>
    </row>
    <row r="114" spans="1:8">
      <c r="A114" s="594" t="str">
        <f t="shared" si="9"/>
        <v>Индустриален холдинг България АД</v>
      </c>
      <c r="B114" s="594" t="str">
        <f t="shared" si="10"/>
        <v>121631219</v>
      </c>
      <c r="C114" s="598">
        <f t="shared" si="11"/>
        <v>45838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4474</v>
      </c>
    </row>
    <row r="115" spans="1:8">
      <c r="A115" s="594" t="str">
        <f t="shared" si="9"/>
        <v>Индустриален холдинг България АД</v>
      </c>
      <c r="B115" s="594" t="str">
        <f t="shared" si="10"/>
        <v>121631219</v>
      </c>
      <c r="C115" s="598">
        <f t="shared" si="11"/>
        <v>45838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2531</v>
      </c>
    </row>
    <row r="116" spans="1:8">
      <c r="A116" s="594" t="str">
        <f t="shared" si="9"/>
        <v>Индустриален холдинг България АД</v>
      </c>
      <c r="B116" s="594" t="str">
        <f t="shared" si="10"/>
        <v>121631219</v>
      </c>
      <c r="C116" s="598">
        <f t="shared" si="11"/>
        <v>45838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777</v>
      </c>
    </row>
    <row r="117" spans="1:8">
      <c r="A117" s="594" t="str">
        <f t="shared" si="9"/>
        <v>Индустриален холдинг България АД</v>
      </c>
      <c r="B117" s="594" t="str">
        <f t="shared" si="10"/>
        <v>121631219</v>
      </c>
      <c r="C117" s="598">
        <f t="shared" si="11"/>
        <v>45838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1206</v>
      </c>
    </row>
    <row r="118" spans="1:8">
      <c r="A118" s="594" t="str">
        <f t="shared" si="9"/>
        <v>Индустриален холдинг България АД</v>
      </c>
      <c r="B118" s="594" t="str">
        <f t="shared" si="10"/>
        <v>121631219</v>
      </c>
      <c r="C118" s="598">
        <f t="shared" si="11"/>
        <v>45838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1207</v>
      </c>
    </row>
    <row r="119" spans="1:8">
      <c r="A119" s="594" t="str">
        <f t="shared" si="9"/>
        <v>Индустриален холдинг България АД</v>
      </c>
      <c r="B119" s="594" t="str">
        <f t="shared" si="10"/>
        <v>121631219</v>
      </c>
      <c r="C119" s="598">
        <f t="shared" si="11"/>
        <v>45838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8</v>
      </c>
    </row>
    <row r="120" spans="1:8">
      <c r="A120" s="594" t="str">
        <f t="shared" si="9"/>
        <v>Индустриален холдинг България АД</v>
      </c>
      <c r="B120" s="594" t="str">
        <f t="shared" si="10"/>
        <v>121631219</v>
      </c>
      <c r="C120" s="598">
        <f t="shared" si="11"/>
        <v>45838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22746</v>
      </c>
    </row>
    <row r="121" spans="1:8">
      <c r="A121" s="594" t="str">
        <f t="shared" si="9"/>
        <v>Индустриален холдинг България АД</v>
      </c>
      <c r="B121" s="594" t="str">
        <f t="shared" si="10"/>
        <v>121631219</v>
      </c>
      <c r="C121" s="598">
        <f t="shared" si="11"/>
        <v>45838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>Индустриален холдинг България АД</v>
      </c>
      <c r="B122" s="594" t="str">
        <f t="shared" si="10"/>
        <v>121631219</v>
      </c>
      <c r="C122" s="598">
        <f t="shared" si="11"/>
        <v>45838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580</v>
      </c>
    </row>
    <row r="123" spans="1:8">
      <c r="A123" s="594" t="str">
        <f t="shared" si="9"/>
        <v>Индустриален холдинг България АД</v>
      </c>
      <c r="B123" s="594" t="str">
        <f t="shared" si="10"/>
        <v>121631219</v>
      </c>
      <c r="C123" s="598">
        <f t="shared" si="11"/>
        <v>45838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110</v>
      </c>
    </row>
    <row r="124" spans="1:8">
      <c r="A124" s="594" t="str">
        <f t="shared" si="9"/>
        <v>Индустриален холдинг България АД</v>
      </c>
      <c r="B124" s="594" t="str">
        <f t="shared" si="10"/>
        <v>121631219</v>
      </c>
      <c r="C124" s="598">
        <f t="shared" si="11"/>
        <v>45838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23436</v>
      </c>
    </row>
    <row r="125" spans="1:8">
      <c r="A125" s="594" t="str">
        <f t="shared" si="9"/>
        <v>Индустриален холдинг България АД</v>
      </c>
      <c r="B125" s="594" t="str">
        <f t="shared" si="10"/>
        <v>121631219</v>
      </c>
      <c r="C125" s="598">
        <f t="shared" si="11"/>
        <v>45838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451397</v>
      </c>
    </row>
    <row r="126" spans="1:8" s="432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>Индустриален холдинг България АД</v>
      </c>
      <c r="B127" s="594" t="str">
        <f t="shared" ref="B127:B158" si="13">pdeBulstat</f>
        <v>121631219</v>
      </c>
      <c r="C127" s="598">
        <f t="shared" ref="C127:C158" si="14">endDate</f>
        <v>45838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16457</v>
      </c>
    </row>
    <row r="128" spans="1:8">
      <c r="A128" s="594" t="str">
        <f t="shared" si="12"/>
        <v>Индустриален холдинг България АД</v>
      </c>
      <c r="B128" s="594" t="str">
        <f t="shared" si="13"/>
        <v>121631219</v>
      </c>
      <c r="C128" s="598">
        <f t="shared" si="14"/>
        <v>45838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12098</v>
      </c>
    </row>
    <row r="129" spans="1:8">
      <c r="A129" s="594" t="str">
        <f t="shared" si="12"/>
        <v>Индустриален холдинг България АД</v>
      </c>
      <c r="B129" s="594" t="str">
        <f t="shared" si="13"/>
        <v>121631219</v>
      </c>
      <c r="C129" s="598">
        <f t="shared" si="14"/>
        <v>45838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6954</v>
      </c>
    </row>
    <row r="130" spans="1:8">
      <c r="A130" s="594" t="str">
        <f t="shared" si="12"/>
        <v>Индустриален холдинг България АД</v>
      </c>
      <c r="B130" s="594" t="str">
        <f t="shared" si="13"/>
        <v>121631219</v>
      </c>
      <c r="C130" s="598">
        <f t="shared" si="14"/>
        <v>45838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16142</v>
      </c>
    </row>
    <row r="131" spans="1:8">
      <c r="A131" s="594" t="str">
        <f t="shared" si="12"/>
        <v>Индустриален холдинг България АД</v>
      </c>
      <c r="B131" s="594" t="str">
        <f t="shared" si="13"/>
        <v>121631219</v>
      </c>
      <c r="C131" s="598">
        <f t="shared" si="14"/>
        <v>45838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3264</v>
      </c>
    </row>
    <row r="132" spans="1:8">
      <c r="A132" s="594" t="str">
        <f t="shared" si="12"/>
        <v>Индустриален холдинг България АД</v>
      </c>
      <c r="B132" s="594" t="str">
        <f t="shared" si="13"/>
        <v>121631219</v>
      </c>
      <c r="C132" s="598">
        <f t="shared" si="14"/>
        <v>45838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0</v>
      </c>
    </row>
    <row r="133" spans="1:8">
      <c r="A133" s="594" t="str">
        <f t="shared" si="12"/>
        <v>Индустриален холдинг България АД</v>
      </c>
      <c r="B133" s="594" t="str">
        <f t="shared" si="13"/>
        <v>121631219</v>
      </c>
      <c r="C133" s="598">
        <f t="shared" si="14"/>
        <v>45838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-2561</v>
      </c>
    </row>
    <row r="134" spans="1:8">
      <c r="A134" s="594" t="str">
        <f t="shared" si="12"/>
        <v>Индустриален холдинг България АД</v>
      </c>
      <c r="B134" s="594" t="str">
        <f t="shared" si="13"/>
        <v>121631219</v>
      </c>
      <c r="C134" s="598">
        <f t="shared" si="14"/>
        <v>45838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1265</v>
      </c>
    </row>
    <row r="135" spans="1:8">
      <c r="A135" s="594" t="str">
        <f t="shared" si="12"/>
        <v>Индустриален холдинг България АД</v>
      </c>
      <c r="B135" s="594" t="str">
        <f t="shared" si="13"/>
        <v>121631219</v>
      </c>
      <c r="C135" s="598">
        <f t="shared" si="14"/>
        <v>45838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0</v>
      </c>
    </row>
    <row r="136" spans="1:8">
      <c r="A136" s="594" t="str">
        <f t="shared" si="12"/>
        <v>Индустриален холдинг България АД</v>
      </c>
      <c r="B136" s="594" t="str">
        <f t="shared" si="13"/>
        <v>121631219</v>
      </c>
      <c r="C136" s="598">
        <f t="shared" si="14"/>
        <v>45838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0</v>
      </c>
    </row>
    <row r="137" spans="1:8">
      <c r="A137" s="594" t="str">
        <f t="shared" si="12"/>
        <v>Индустриален холдинг България АД</v>
      </c>
      <c r="B137" s="594" t="str">
        <f t="shared" si="13"/>
        <v>121631219</v>
      </c>
      <c r="C137" s="598">
        <f t="shared" si="14"/>
        <v>45838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53619</v>
      </c>
    </row>
    <row r="138" spans="1:8">
      <c r="A138" s="594" t="str">
        <f t="shared" si="12"/>
        <v>Индустриален холдинг България АД</v>
      </c>
      <c r="B138" s="594" t="str">
        <f t="shared" si="13"/>
        <v>121631219</v>
      </c>
      <c r="C138" s="598">
        <f t="shared" si="14"/>
        <v>45838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111</v>
      </c>
    </row>
    <row r="139" spans="1:8">
      <c r="A139" s="594" t="str">
        <f t="shared" si="12"/>
        <v>Индустриален холдинг България АД</v>
      </c>
      <c r="B139" s="594" t="str">
        <f t="shared" si="13"/>
        <v>121631219</v>
      </c>
      <c r="C139" s="598">
        <f t="shared" si="14"/>
        <v>45838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0</v>
      </c>
    </row>
    <row r="140" spans="1:8">
      <c r="A140" s="594" t="str">
        <f t="shared" si="12"/>
        <v>Индустриален холдинг България АД</v>
      </c>
      <c r="B140" s="594" t="str">
        <f t="shared" si="13"/>
        <v>121631219</v>
      </c>
      <c r="C140" s="598">
        <f t="shared" si="14"/>
        <v>45838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3228</v>
      </c>
    </row>
    <row r="141" spans="1:8">
      <c r="A141" s="594" t="str">
        <f t="shared" si="12"/>
        <v>Индустриален холдинг България АД</v>
      </c>
      <c r="B141" s="594" t="str">
        <f t="shared" si="13"/>
        <v>121631219</v>
      </c>
      <c r="C141" s="598">
        <f t="shared" si="14"/>
        <v>45838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85</v>
      </c>
    </row>
    <row r="142" spans="1:8">
      <c r="A142" s="594" t="str">
        <f t="shared" si="12"/>
        <v>Индустриален холдинг България АД</v>
      </c>
      <c r="B142" s="594" t="str">
        <f t="shared" si="13"/>
        <v>121631219</v>
      </c>
      <c r="C142" s="598">
        <f t="shared" si="14"/>
        <v>45838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3424</v>
      </c>
    </row>
    <row r="143" spans="1:8">
      <c r="A143" s="594" t="str">
        <f t="shared" si="12"/>
        <v>Индустриален холдинг България АД</v>
      </c>
      <c r="B143" s="594" t="str">
        <f t="shared" si="13"/>
        <v>121631219</v>
      </c>
      <c r="C143" s="598">
        <f t="shared" si="14"/>
        <v>45838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57043</v>
      </c>
    </row>
    <row r="144" spans="1:8">
      <c r="A144" s="594" t="str">
        <f t="shared" si="12"/>
        <v>Индустриален холдинг България АД</v>
      </c>
      <c r="B144" s="594" t="str">
        <f t="shared" si="13"/>
        <v>121631219</v>
      </c>
      <c r="C144" s="598">
        <f t="shared" si="14"/>
        <v>45838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0</v>
      </c>
    </row>
    <row r="145" spans="1:8">
      <c r="A145" s="594" t="str">
        <f t="shared" si="12"/>
        <v>Индустриален холдинг България АД</v>
      </c>
      <c r="B145" s="594" t="str">
        <f t="shared" si="13"/>
        <v>121631219</v>
      </c>
      <c r="C145" s="598">
        <f t="shared" si="14"/>
        <v>45838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0</v>
      </c>
    </row>
    <row r="146" spans="1:8">
      <c r="A146" s="594" t="str">
        <f t="shared" si="12"/>
        <v>Индустриален холдинг България АД</v>
      </c>
      <c r="B146" s="594" t="str">
        <f t="shared" si="13"/>
        <v>121631219</v>
      </c>
      <c r="C146" s="598">
        <f t="shared" si="14"/>
        <v>45838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>Индустриален холдинг България АД</v>
      </c>
      <c r="B147" s="594" t="str">
        <f t="shared" si="13"/>
        <v>121631219</v>
      </c>
      <c r="C147" s="598">
        <f t="shared" si="14"/>
        <v>45838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57043</v>
      </c>
    </row>
    <row r="148" spans="1:8">
      <c r="A148" s="594" t="str">
        <f t="shared" si="12"/>
        <v>Индустриален холдинг България АД</v>
      </c>
      <c r="B148" s="594" t="str">
        <f t="shared" si="13"/>
        <v>121631219</v>
      </c>
      <c r="C148" s="598">
        <f t="shared" si="14"/>
        <v>45838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0</v>
      </c>
    </row>
    <row r="149" spans="1:8">
      <c r="A149" s="594" t="str">
        <f t="shared" si="12"/>
        <v>Индустриален холдинг България АД</v>
      </c>
      <c r="B149" s="594" t="str">
        <f t="shared" si="13"/>
        <v>121631219</v>
      </c>
      <c r="C149" s="598">
        <f t="shared" si="14"/>
        <v>45838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778</v>
      </c>
    </row>
    <row r="150" spans="1:8">
      <c r="A150" s="594" t="str">
        <f t="shared" si="12"/>
        <v>Индустриален холдинг България АД</v>
      </c>
      <c r="B150" s="594" t="str">
        <f t="shared" si="13"/>
        <v>121631219</v>
      </c>
      <c r="C150" s="598">
        <f t="shared" si="14"/>
        <v>45838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750</v>
      </c>
    </row>
    <row r="151" spans="1:8">
      <c r="A151" s="594" t="str">
        <f t="shared" si="12"/>
        <v>Индустриален холдинг България АД</v>
      </c>
      <c r="B151" s="594" t="str">
        <f t="shared" si="13"/>
        <v>121631219</v>
      </c>
      <c r="C151" s="598">
        <f t="shared" si="14"/>
        <v>45838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28</v>
      </c>
    </row>
    <row r="152" spans="1:8">
      <c r="A152" s="594" t="str">
        <f t="shared" si="12"/>
        <v>Индустриален холдинг България АД</v>
      </c>
      <c r="B152" s="594" t="str">
        <f t="shared" si="13"/>
        <v>121631219</v>
      </c>
      <c r="C152" s="598">
        <f t="shared" si="14"/>
        <v>45838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>Индустриален холдинг България АД</v>
      </c>
      <c r="B153" s="594" t="str">
        <f t="shared" si="13"/>
        <v>121631219</v>
      </c>
      <c r="C153" s="598">
        <f t="shared" si="14"/>
        <v>45838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0</v>
      </c>
    </row>
    <row r="154" spans="1:8">
      <c r="A154" s="594" t="str">
        <f t="shared" si="12"/>
        <v>Индустриален холдинг България АД</v>
      </c>
      <c r="B154" s="594" t="str">
        <f t="shared" si="13"/>
        <v>121631219</v>
      </c>
      <c r="C154" s="598">
        <f t="shared" si="14"/>
        <v>45838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64</v>
      </c>
    </row>
    <row r="155" spans="1:8">
      <c r="A155" s="594" t="str">
        <f t="shared" si="12"/>
        <v>Индустриален холдинг България АД</v>
      </c>
      <c r="B155" s="594" t="str">
        <f t="shared" si="13"/>
        <v>121631219</v>
      </c>
      <c r="C155" s="598">
        <f t="shared" si="14"/>
        <v>45838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0</v>
      </c>
    </row>
    <row r="156" spans="1:8">
      <c r="A156" s="594" t="str">
        <f t="shared" si="12"/>
        <v>Индустриален холдинг България АД</v>
      </c>
      <c r="B156" s="594" t="str">
        <f t="shared" si="13"/>
        <v>121631219</v>
      </c>
      <c r="C156" s="598">
        <f t="shared" si="14"/>
        <v>45838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57821</v>
      </c>
    </row>
    <row r="157" spans="1:8">
      <c r="A157" s="594" t="str">
        <f t="shared" si="12"/>
        <v>Индустриален холдинг България АД</v>
      </c>
      <c r="B157" s="594" t="str">
        <f t="shared" si="13"/>
        <v>121631219</v>
      </c>
      <c r="C157" s="598">
        <f t="shared" si="14"/>
        <v>45838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15173</v>
      </c>
    </row>
    <row r="158" spans="1:8">
      <c r="A158" s="594" t="str">
        <f t="shared" si="12"/>
        <v>Индустриален холдинг България АД</v>
      </c>
      <c r="B158" s="594" t="str">
        <f t="shared" si="13"/>
        <v>121631219</v>
      </c>
      <c r="C158" s="598">
        <f t="shared" si="14"/>
        <v>45838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0</v>
      </c>
    </row>
    <row r="159" spans="1:8">
      <c r="A159" s="594" t="str">
        <f t="shared" ref="A159:A179" si="15">pdeName</f>
        <v>Индустриален холдинг България АД</v>
      </c>
      <c r="B159" s="594" t="str">
        <f t="shared" ref="B159:B179" si="16">pdeBulstat</f>
        <v>121631219</v>
      </c>
      <c r="C159" s="598">
        <f t="shared" ref="C159:C179" si="17">endDate</f>
        <v>45838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39932</v>
      </c>
    </row>
    <row r="160" spans="1:8">
      <c r="A160" s="594" t="str">
        <f t="shared" si="15"/>
        <v>Индустриален холдинг България АД</v>
      </c>
      <c r="B160" s="594" t="str">
        <f t="shared" si="16"/>
        <v>121631219</v>
      </c>
      <c r="C160" s="598">
        <f t="shared" si="17"/>
        <v>45838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594</v>
      </c>
    </row>
    <row r="161" spans="1:8">
      <c r="A161" s="594" t="str">
        <f t="shared" si="15"/>
        <v>Индустриален холдинг България АД</v>
      </c>
      <c r="B161" s="594" t="str">
        <f t="shared" si="16"/>
        <v>121631219</v>
      </c>
      <c r="C161" s="598">
        <f t="shared" si="17"/>
        <v>45838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55699</v>
      </c>
    </row>
    <row r="162" spans="1:8">
      <c r="A162" s="594" t="str">
        <f t="shared" si="15"/>
        <v>Индустриален холдинг България АД</v>
      </c>
      <c r="B162" s="594" t="str">
        <f t="shared" si="16"/>
        <v>121631219</v>
      </c>
      <c r="C162" s="598">
        <f t="shared" si="17"/>
        <v>45838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315</v>
      </c>
    </row>
    <row r="163" spans="1:8">
      <c r="A163" s="594" t="str">
        <f t="shared" si="15"/>
        <v>Индустриален холдинг България АД</v>
      </c>
      <c r="B163" s="594" t="str">
        <f t="shared" si="16"/>
        <v>121631219</v>
      </c>
      <c r="C163" s="598">
        <f t="shared" si="17"/>
        <v>45838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>Индустриален холдинг България АД</v>
      </c>
      <c r="B164" s="594" t="str">
        <f t="shared" si="16"/>
        <v>121631219</v>
      </c>
      <c r="C164" s="598">
        <f t="shared" si="17"/>
        <v>45838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410</v>
      </c>
    </row>
    <row r="165" spans="1:8">
      <c r="A165" s="594" t="str">
        <f t="shared" si="15"/>
        <v>Индустриален холдинг България АД</v>
      </c>
      <c r="B165" s="594" t="str">
        <f t="shared" si="16"/>
        <v>121631219</v>
      </c>
      <c r="C165" s="598">
        <f t="shared" si="17"/>
        <v>45838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0</v>
      </c>
    </row>
    <row r="166" spans="1:8">
      <c r="A166" s="594" t="str">
        <f t="shared" si="15"/>
        <v>Индустриален холдинг България АД</v>
      </c>
      <c r="B166" s="594" t="str">
        <f t="shared" si="16"/>
        <v>121631219</v>
      </c>
      <c r="C166" s="598">
        <f t="shared" si="17"/>
        <v>45838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0</v>
      </c>
    </row>
    <row r="167" spans="1:8">
      <c r="A167" s="594" t="str">
        <f t="shared" si="15"/>
        <v>Индустриален холдинг България АД</v>
      </c>
      <c r="B167" s="594" t="str">
        <f t="shared" si="16"/>
        <v>121631219</v>
      </c>
      <c r="C167" s="598">
        <f t="shared" si="17"/>
        <v>45838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0</v>
      </c>
    </row>
    <row r="168" spans="1:8">
      <c r="A168" s="594" t="str">
        <f t="shared" si="15"/>
        <v>Индустриален холдинг България АД</v>
      </c>
      <c r="B168" s="594" t="str">
        <f t="shared" si="16"/>
        <v>121631219</v>
      </c>
      <c r="C168" s="598">
        <f t="shared" si="17"/>
        <v>45838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0</v>
      </c>
    </row>
    <row r="169" spans="1:8">
      <c r="A169" s="594" t="str">
        <f t="shared" si="15"/>
        <v>Индустриален холдинг България АД</v>
      </c>
      <c r="B169" s="594" t="str">
        <f t="shared" si="16"/>
        <v>121631219</v>
      </c>
      <c r="C169" s="598">
        <f t="shared" si="17"/>
        <v>45838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410</v>
      </c>
    </row>
    <row r="170" spans="1:8">
      <c r="A170" s="594" t="str">
        <f t="shared" si="15"/>
        <v>Индустриален холдинг България АД</v>
      </c>
      <c r="B170" s="594" t="str">
        <f t="shared" si="16"/>
        <v>121631219</v>
      </c>
      <c r="C170" s="598">
        <f t="shared" si="17"/>
        <v>45838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56424</v>
      </c>
    </row>
    <row r="171" spans="1:8">
      <c r="A171" s="594" t="str">
        <f t="shared" si="15"/>
        <v>Индустриален холдинг България АД</v>
      </c>
      <c r="B171" s="594" t="str">
        <f t="shared" si="16"/>
        <v>121631219</v>
      </c>
      <c r="C171" s="598">
        <f t="shared" si="17"/>
        <v>45838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619</v>
      </c>
    </row>
    <row r="172" spans="1:8">
      <c r="A172" s="594" t="str">
        <f t="shared" si="15"/>
        <v>Индустриален холдинг България АД</v>
      </c>
      <c r="B172" s="594" t="str">
        <f t="shared" si="16"/>
        <v>121631219</v>
      </c>
      <c r="C172" s="598">
        <f t="shared" si="17"/>
        <v>45838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>Индустриален холдинг България АД</v>
      </c>
      <c r="B173" s="594" t="str">
        <f t="shared" si="16"/>
        <v>121631219</v>
      </c>
      <c r="C173" s="598">
        <f t="shared" si="17"/>
        <v>45838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>Индустриален холдинг България АД</v>
      </c>
      <c r="B174" s="594" t="str">
        <f t="shared" si="16"/>
        <v>121631219</v>
      </c>
      <c r="C174" s="598">
        <f t="shared" si="17"/>
        <v>45838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56424</v>
      </c>
    </row>
    <row r="175" spans="1:8">
      <c r="A175" s="594" t="str">
        <f t="shared" si="15"/>
        <v>Индустриален холдинг България АД</v>
      </c>
      <c r="B175" s="594" t="str">
        <f t="shared" si="16"/>
        <v>121631219</v>
      </c>
      <c r="C175" s="598">
        <f t="shared" si="17"/>
        <v>45838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619</v>
      </c>
    </row>
    <row r="176" spans="1:8">
      <c r="A176" s="594" t="str">
        <f t="shared" si="15"/>
        <v>Индустриален холдинг България АД</v>
      </c>
      <c r="B176" s="594" t="str">
        <f t="shared" si="16"/>
        <v>121631219</v>
      </c>
      <c r="C176" s="598">
        <f t="shared" si="17"/>
        <v>45838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1397</v>
      </c>
    </row>
    <row r="177" spans="1:8">
      <c r="A177" s="594" t="str">
        <f t="shared" si="15"/>
        <v>Индустриален холдинг България АД</v>
      </c>
      <c r="B177" s="594" t="str">
        <f t="shared" si="16"/>
        <v>121631219</v>
      </c>
      <c r="C177" s="598">
        <f t="shared" si="17"/>
        <v>45838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0</v>
      </c>
    </row>
    <row r="178" spans="1:8">
      <c r="A178" s="594" t="str">
        <f t="shared" si="15"/>
        <v>Индустриален холдинг България АД</v>
      </c>
      <c r="B178" s="594" t="str">
        <f t="shared" si="16"/>
        <v>121631219</v>
      </c>
      <c r="C178" s="598">
        <f t="shared" si="17"/>
        <v>45838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1461</v>
      </c>
    </row>
    <row r="179" spans="1:8">
      <c r="A179" s="594" t="str">
        <f t="shared" si="15"/>
        <v>Индустриален холдинг България АД</v>
      </c>
      <c r="B179" s="594" t="str">
        <f t="shared" si="16"/>
        <v>121631219</v>
      </c>
      <c r="C179" s="598">
        <f t="shared" si="17"/>
        <v>45838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57821</v>
      </c>
    </row>
    <row r="180" spans="1:8" s="432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>Индустриален холдинг България АД</v>
      </c>
      <c r="B181" s="594" t="str">
        <f t="shared" ref="B181:B216" si="19">pdeBulstat</f>
        <v>121631219</v>
      </c>
      <c r="C181" s="598">
        <f t="shared" ref="C181:C216" si="20">endDate</f>
        <v>45838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55325</v>
      </c>
    </row>
    <row r="182" spans="1:8">
      <c r="A182" s="594" t="str">
        <f t="shared" si="18"/>
        <v>Индустриален холдинг България АД</v>
      </c>
      <c r="B182" s="594" t="str">
        <f t="shared" si="19"/>
        <v>121631219</v>
      </c>
      <c r="C182" s="598">
        <f t="shared" si="20"/>
        <v>45838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-33617</v>
      </c>
    </row>
    <row r="183" spans="1:8">
      <c r="A183" s="594" t="str">
        <f t="shared" si="18"/>
        <v>Индустриален холдинг България АД</v>
      </c>
      <c r="B183" s="594" t="str">
        <f t="shared" si="19"/>
        <v>121631219</v>
      </c>
      <c r="C183" s="598">
        <f t="shared" si="20"/>
        <v>45838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0</v>
      </c>
    </row>
    <row r="184" spans="1:8">
      <c r="A184" s="594" t="str">
        <f t="shared" si="18"/>
        <v>Индустриален холдинг България АД</v>
      </c>
      <c r="B184" s="594" t="str">
        <f t="shared" si="19"/>
        <v>121631219</v>
      </c>
      <c r="C184" s="598">
        <f t="shared" si="20"/>
        <v>45838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-19402</v>
      </c>
    </row>
    <row r="185" spans="1:8">
      <c r="A185" s="594" t="str">
        <f t="shared" si="18"/>
        <v>Индустриален холдинг България АД</v>
      </c>
      <c r="B185" s="594" t="str">
        <f t="shared" si="19"/>
        <v>121631219</v>
      </c>
      <c r="C185" s="598">
        <f t="shared" si="20"/>
        <v>45838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2207</v>
      </c>
    </row>
    <row r="186" spans="1:8">
      <c r="A186" s="594" t="str">
        <f t="shared" si="18"/>
        <v>Индустриален холдинг България АД</v>
      </c>
      <c r="B186" s="594" t="str">
        <f t="shared" si="19"/>
        <v>121631219</v>
      </c>
      <c r="C186" s="598">
        <f t="shared" si="20"/>
        <v>45838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-395</v>
      </c>
    </row>
    <row r="187" spans="1:8">
      <c r="A187" s="594" t="str">
        <f t="shared" si="18"/>
        <v>Индустриален холдинг България АД</v>
      </c>
      <c r="B187" s="594" t="str">
        <f t="shared" si="19"/>
        <v>121631219</v>
      </c>
      <c r="C187" s="598">
        <f t="shared" si="20"/>
        <v>45838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0</v>
      </c>
    </row>
    <row r="188" spans="1:8">
      <c r="A188" s="594" t="str">
        <f t="shared" si="18"/>
        <v>Индустриален холдинг България АД</v>
      </c>
      <c r="B188" s="594" t="str">
        <f t="shared" si="19"/>
        <v>121631219</v>
      </c>
      <c r="C188" s="598">
        <f t="shared" si="20"/>
        <v>45838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0</v>
      </c>
    </row>
    <row r="189" spans="1:8">
      <c r="A189" s="594" t="str">
        <f t="shared" si="18"/>
        <v>Индустриален холдинг България АД</v>
      </c>
      <c r="B189" s="594" t="str">
        <f t="shared" si="19"/>
        <v>121631219</v>
      </c>
      <c r="C189" s="598">
        <f t="shared" si="20"/>
        <v>45838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-2893</v>
      </c>
    </row>
    <row r="190" spans="1:8">
      <c r="A190" s="594" t="str">
        <f t="shared" si="18"/>
        <v>Индустриален холдинг България АД</v>
      </c>
      <c r="B190" s="594" t="str">
        <f t="shared" si="19"/>
        <v>121631219</v>
      </c>
      <c r="C190" s="598">
        <f t="shared" si="20"/>
        <v>45838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-344</v>
      </c>
    </row>
    <row r="191" spans="1:8">
      <c r="A191" s="594" t="str">
        <f t="shared" si="18"/>
        <v>Индустриален холдинг България АД</v>
      </c>
      <c r="B191" s="594" t="str">
        <f t="shared" si="19"/>
        <v>121631219</v>
      </c>
      <c r="C191" s="598">
        <f t="shared" si="20"/>
        <v>45838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881</v>
      </c>
    </row>
    <row r="192" spans="1:8">
      <c r="A192" s="594" t="str">
        <f t="shared" si="18"/>
        <v>Индустриален холдинг България АД</v>
      </c>
      <c r="B192" s="594" t="str">
        <f t="shared" si="19"/>
        <v>121631219</v>
      </c>
      <c r="C192" s="598">
        <f t="shared" si="20"/>
        <v>45838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-6618</v>
      </c>
    </row>
    <row r="193" spans="1:8">
      <c r="A193" s="594" t="str">
        <f t="shared" si="18"/>
        <v>Индустриален холдинг България АД</v>
      </c>
      <c r="B193" s="594" t="str">
        <f t="shared" si="19"/>
        <v>121631219</v>
      </c>
      <c r="C193" s="598">
        <f t="shared" si="20"/>
        <v>45838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30</v>
      </c>
    </row>
    <row r="194" spans="1:8">
      <c r="A194" s="594" t="str">
        <f t="shared" si="18"/>
        <v>Индустриален холдинг България АД</v>
      </c>
      <c r="B194" s="594" t="str">
        <f t="shared" si="19"/>
        <v>121631219</v>
      </c>
      <c r="C194" s="598">
        <f t="shared" si="20"/>
        <v>45838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0</v>
      </c>
    </row>
    <row r="195" spans="1:8">
      <c r="A195" s="594" t="str">
        <f t="shared" si="18"/>
        <v>Индустриален холдинг България АД</v>
      </c>
      <c r="B195" s="594" t="str">
        <f t="shared" si="19"/>
        <v>121631219</v>
      </c>
      <c r="C195" s="598">
        <f t="shared" si="20"/>
        <v>45838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0</v>
      </c>
    </row>
    <row r="196" spans="1:8">
      <c r="A196" s="594" t="str">
        <f t="shared" si="18"/>
        <v>Индустриален холдинг България АД</v>
      </c>
      <c r="B196" s="594" t="str">
        <f t="shared" si="19"/>
        <v>121631219</v>
      </c>
      <c r="C196" s="598">
        <f t="shared" si="20"/>
        <v>45838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415</v>
      </c>
    </row>
    <row r="197" spans="1:8">
      <c r="A197" s="594" t="str">
        <f t="shared" si="18"/>
        <v>Индустриален холдинг България АД</v>
      </c>
      <c r="B197" s="594" t="str">
        <f t="shared" si="19"/>
        <v>121631219</v>
      </c>
      <c r="C197" s="598">
        <f t="shared" si="20"/>
        <v>45838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-4024</v>
      </c>
    </row>
    <row r="198" spans="1:8">
      <c r="A198" s="594" t="str">
        <f t="shared" si="18"/>
        <v>Индустриален холдинг България АД</v>
      </c>
      <c r="B198" s="594" t="str">
        <f t="shared" si="19"/>
        <v>121631219</v>
      </c>
      <c r="C198" s="598">
        <f t="shared" si="20"/>
        <v>45838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0</v>
      </c>
    </row>
    <row r="199" spans="1:8">
      <c r="A199" s="594" t="str">
        <f t="shared" si="18"/>
        <v>Индустриален холдинг България АД</v>
      </c>
      <c r="B199" s="594" t="str">
        <f t="shared" si="19"/>
        <v>121631219</v>
      </c>
      <c r="C199" s="598">
        <f t="shared" si="20"/>
        <v>45838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0</v>
      </c>
    </row>
    <row r="200" spans="1:8">
      <c r="A200" s="594" t="str">
        <f t="shared" si="18"/>
        <v>Индустриален холдинг България АД</v>
      </c>
      <c r="B200" s="594" t="str">
        <f t="shared" si="19"/>
        <v>121631219</v>
      </c>
      <c r="C200" s="598">
        <f t="shared" si="20"/>
        <v>45838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>Индустриален холдинг България АД</v>
      </c>
      <c r="B201" s="594" t="str">
        <f t="shared" si="19"/>
        <v>121631219</v>
      </c>
      <c r="C201" s="598">
        <f t="shared" si="20"/>
        <v>45838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6</v>
      </c>
    </row>
    <row r="202" spans="1:8">
      <c r="A202" s="594" t="str">
        <f t="shared" si="18"/>
        <v>Индустриален холдинг България АД</v>
      </c>
      <c r="B202" s="594" t="str">
        <f t="shared" si="19"/>
        <v>121631219</v>
      </c>
      <c r="C202" s="598">
        <f t="shared" si="20"/>
        <v>45838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-10191</v>
      </c>
    </row>
    <row r="203" spans="1:8">
      <c r="A203" s="594" t="str">
        <f t="shared" si="18"/>
        <v>Индустриален холдинг България АД</v>
      </c>
      <c r="B203" s="594" t="str">
        <f t="shared" si="19"/>
        <v>121631219</v>
      </c>
      <c r="C203" s="598">
        <f t="shared" si="20"/>
        <v>45838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>Индустриален холдинг България АД</v>
      </c>
      <c r="B204" s="594" t="str">
        <f t="shared" si="19"/>
        <v>121631219</v>
      </c>
      <c r="C204" s="598">
        <f t="shared" si="20"/>
        <v>45838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0</v>
      </c>
    </row>
    <row r="205" spans="1:8">
      <c r="A205" s="594" t="str">
        <f t="shared" si="18"/>
        <v>Индустриален холдинг България АД</v>
      </c>
      <c r="B205" s="594" t="str">
        <f t="shared" si="19"/>
        <v>121631219</v>
      </c>
      <c r="C205" s="598">
        <f t="shared" si="20"/>
        <v>45838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3723</v>
      </c>
    </row>
    <row r="206" spans="1:8">
      <c r="A206" s="594" t="str">
        <f t="shared" si="18"/>
        <v>Индустриален холдинг България АД</v>
      </c>
      <c r="B206" s="594" t="str">
        <f t="shared" si="19"/>
        <v>121631219</v>
      </c>
      <c r="C206" s="598">
        <f t="shared" si="20"/>
        <v>45838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-2053</v>
      </c>
    </row>
    <row r="207" spans="1:8">
      <c r="A207" s="594" t="str">
        <f t="shared" si="18"/>
        <v>Индустриален холдинг България АД</v>
      </c>
      <c r="B207" s="594" t="str">
        <f t="shared" si="19"/>
        <v>121631219</v>
      </c>
      <c r="C207" s="598">
        <f t="shared" si="20"/>
        <v>45838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-178</v>
      </c>
    </row>
    <row r="208" spans="1:8">
      <c r="A208" s="594" t="str">
        <f t="shared" si="18"/>
        <v>Индустриален холдинг България АД</v>
      </c>
      <c r="B208" s="594" t="str">
        <f t="shared" si="19"/>
        <v>121631219</v>
      </c>
      <c r="C208" s="598">
        <f t="shared" si="20"/>
        <v>45838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-126</v>
      </c>
    </row>
    <row r="209" spans="1:8">
      <c r="A209" s="594" t="str">
        <f t="shared" si="18"/>
        <v>Индустриален холдинг България АД</v>
      </c>
      <c r="B209" s="594" t="str">
        <f t="shared" si="19"/>
        <v>121631219</v>
      </c>
      <c r="C209" s="598">
        <f t="shared" si="20"/>
        <v>45838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-141</v>
      </c>
    </row>
    <row r="210" spans="1:8">
      <c r="A210" s="594" t="str">
        <f t="shared" si="18"/>
        <v>Индустриален холдинг България АД</v>
      </c>
      <c r="B210" s="594" t="str">
        <f t="shared" si="19"/>
        <v>121631219</v>
      </c>
      <c r="C210" s="598">
        <f t="shared" si="20"/>
        <v>45838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0</v>
      </c>
    </row>
    <row r="211" spans="1:8">
      <c r="A211" s="594" t="str">
        <f t="shared" si="18"/>
        <v>Индустриален холдинг България АД</v>
      </c>
      <c r="B211" s="594" t="str">
        <f t="shared" si="19"/>
        <v>121631219</v>
      </c>
      <c r="C211" s="598">
        <f t="shared" si="20"/>
        <v>45838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1225</v>
      </c>
    </row>
    <row r="212" spans="1:8">
      <c r="A212" s="594" t="str">
        <f t="shared" si="18"/>
        <v>Индустриален холдинг България АД</v>
      </c>
      <c r="B212" s="594" t="str">
        <f t="shared" si="19"/>
        <v>121631219</v>
      </c>
      <c r="C212" s="598">
        <f t="shared" si="20"/>
        <v>45838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-8085</v>
      </c>
    </row>
    <row r="213" spans="1:8">
      <c r="A213" s="594" t="str">
        <f t="shared" si="18"/>
        <v>Индустриален холдинг България АД</v>
      </c>
      <c r="B213" s="594" t="str">
        <f t="shared" si="19"/>
        <v>121631219</v>
      </c>
      <c r="C213" s="598">
        <f t="shared" si="20"/>
        <v>45838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30811</v>
      </c>
    </row>
    <row r="214" spans="1:8">
      <c r="A214" s="594" t="str">
        <f t="shared" si="18"/>
        <v>Индустриален холдинг България АД</v>
      </c>
      <c r="B214" s="594" t="str">
        <f t="shared" si="19"/>
        <v>121631219</v>
      </c>
      <c r="C214" s="598">
        <f t="shared" si="20"/>
        <v>45838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22726</v>
      </c>
    </row>
    <row r="215" spans="1:8">
      <c r="A215" s="594" t="str">
        <f t="shared" si="18"/>
        <v>Индустриален холдинг България АД</v>
      </c>
      <c r="B215" s="594" t="str">
        <f t="shared" si="19"/>
        <v>121631219</v>
      </c>
      <c r="C215" s="598">
        <f t="shared" si="20"/>
        <v>45838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22726</v>
      </c>
    </row>
    <row r="216" spans="1:8">
      <c r="A216" s="594" t="str">
        <f t="shared" si="18"/>
        <v>Индустриален холдинг България АД</v>
      </c>
      <c r="B216" s="594" t="str">
        <f t="shared" si="19"/>
        <v>121631219</v>
      </c>
      <c r="C216" s="598">
        <f t="shared" si="20"/>
        <v>45838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0</v>
      </c>
    </row>
    <row r="217" spans="1:8" s="432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>Индустриален холдинг България АД</v>
      </c>
      <c r="B218" s="594" t="str">
        <f t="shared" ref="B218:B281" si="22">pdeBulstat</f>
        <v>121631219</v>
      </c>
      <c r="C218" s="598">
        <f t="shared" ref="C218:C281" si="23">endDate</f>
        <v>45838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96808</v>
      </c>
    </row>
    <row r="219" spans="1:8">
      <c r="A219" s="594" t="str">
        <f t="shared" si="21"/>
        <v>Индустриален холдинг България АД</v>
      </c>
      <c r="B219" s="594" t="str">
        <f t="shared" si="22"/>
        <v>121631219</v>
      </c>
      <c r="C219" s="598">
        <f t="shared" si="23"/>
        <v>45838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>Индустриален холдинг България АД</v>
      </c>
      <c r="B220" s="594" t="str">
        <f t="shared" si="22"/>
        <v>121631219</v>
      </c>
      <c r="C220" s="598">
        <f t="shared" si="23"/>
        <v>45838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>Индустриален холдинг България АД</v>
      </c>
      <c r="B221" s="594" t="str">
        <f t="shared" si="22"/>
        <v>121631219</v>
      </c>
      <c r="C221" s="598">
        <f t="shared" si="23"/>
        <v>45838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>Индустриален холдинг България АД</v>
      </c>
      <c r="B222" s="594" t="str">
        <f t="shared" si="22"/>
        <v>121631219</v>
      </c>
      <c r="C222" s="598">
        <f t="shared" si="23"/>
        <v>45838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96808</v>
      </c>
    </row>
    <row r="223" spans="1:8">
      <c r="A223" s="594" t="str">
        <f t="shared" si="21"/>
        <v>Индустриален холдинг България АД</v>
      </c>
      <c r="B223" s="594" t="str">
        <f t="shared" si="22"/>
        <v>121631219</v>
      </c>
      <c r="C223" s="598">
        <f t="shared" si="23"/>
        <v>45838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>Индустриален холдинг България АД</v>
      </c>
      <c r="B224" s="594" t="str">
        <f t="shared" si="22"/>
        <v>121631219</v>
      </c>
      <c r="C224" s="598">
        <f t="shared" si="23"/>
        <v>45838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>Индустриален холдинг България АД</v>
      </c>
      <c r="B225" s="594" t="str">
        <f t="shared" si="22"/>
        <v>121631219</v>
      </c>
      <c r="C225" s="598">
        <f t="shared" si="23"/>
        <v>45838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>Индустриален холдинг България АД</v>
      </c>
      <c r="B226" s="594" t="str">
        <f t="shared" si="22"/>
        <v>121631219</v>
      </c>
      <c r="C226" s="598">
        <f t="shared" si="23"/>
        <v>45838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>Индустриален холдинг България АД</v>
      </c>
      <c r="B227" s="594" t="str">
        <f t="shared" si="22"/>
        <v>121631219</v>
      </c>
      <c r="C227" s="598">
        <f t="shared" si="23"/>
        <v>45838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>Индустриален холдинг България АД</v>
      </c>
      <c r="B228" s="594" t="str">
        <f t="shared" si="22"/>
        <v>121631219</v>
      </c>
      <c r="C228" s="598">
        <f t="shared" si="23"/>
        <v>45838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>Индустриален холдинг България АД</v>
      </c>
      <c r="B229" s="594" t="str">
        <f t="shared" si="22"/>
        <v>121631219</v>
      </c>
      <c r="C229" s="598">
        <f t="shared" si="23"/>
        <v>45838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>Индустриален холдинг България АД</v>
      </c>
      <c r="B230" s="594" t="str">
        <f t="shared" si="22"/>
        <v>121631219</v>
      </c>
      <c r="C230" s="598">
        <f t="shared" si="23"/>
        <v>45838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>Индустриален холдинг България АД</v>
      </c>
      <c r="B231" s="594" t="str">
        <f t="shared" si="22"/>
        <v>121631219</v>
      </c>
      <c r="C231" s="598">
        <f t="shared" si="23"/>
        <v>45838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>Индустриален холдинг България АД</v>
      </c>
      <c r="B232" s="594" t="str">
        <f t="shared" si="22"/>
        <v>121631219</v>
      </c>
      <c r="C232" s="598">
        <f t="shared" si="23"/>
        <v>45838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>Индустриален холдинг България АД</v>
      </c>
      <c r="B233" s="594" t="str">
        <f t="shared" si="22"/>
        <v>121631219</v>
      </c>
      <c r="C233" s="598">
        <f t="shared" si="23"/>
        <v>45838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>Индустриален холдинг България АД</v>
      </c>
      <c r="B234" s="594" t="str">
        <f t="shared" si="22"/>
        <v>121631219</v>
      </c>
      <c r="C234" s="598">
        <f t="shared" si="23"/>
        <v>45838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>Индустриален холдинг България АД</v>
      </c>
      <c r="B235" s="594" t="str">
        <f t="shared" si="22"/>
        <v>121631219</v>
      </c>
      <c r="C235" s="598">
        <f t="shared" si="23"/>
        <v>45838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>Индустриален холдинг България АД</v>
      </c>
      <c r="B236" s="594" t="str">
        <f t="shared" si="22"/>
        <v>121631219</v>
      </c>
      <c r="C236" s="598">
        <f t="shared" si="23"/>
        <v>45838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96808</v>
      </c>
    </row>
    <row r="237" spans="1:8">
      <c r="A237" s="594" t="str">
        <f t="shared" si="21"/>
        <v>Индустриален холдинг България АД</v>
      </c>
      <c r="B237" s="594" t="str">
        <f t="shared" si="22"/>
        <v>121631219</v>
      </c>
      <c r="C237" s="598">
        <f t="shared" si="23"/>
        <v>45838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>Индустриален холдинг България АД</v>
      </c>
      <c r="B238" s="594" t="str">
        <f t="shared" si="22"/>
        <v>121631219</v>
      </c>
      <c r="C238" s="598">
        <f t="shared" si="23"/>
        <v>45838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>Индустриален холдинг България АД</v>
      </c>
      <c r="B239" s="594" t="str">
        <f t="shared" si="22"/>
        <v>121631219</v>
      </c>
      <c r="C239" s="598">
        <f t="shared" si="23"/>
        <v>45838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96808</v>
      </c>
    </row>
    <row r="240" spans="1:8">
      <c r="A240" s="594" t="str">
        <f t="shared" si="21"/>
        <v>Индустриален холдинг България АД</v>
      </c>
      <c r="B240" s="594" t="str">
        <f t="shared" si="22"/>
        <v>121631219</v>
      </c>
      <c r="C240" s="598">
        <f t="shared" si="23"/>
        <v>45838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31016</v>
      </c>
    </row>
    <row r="241" spans="1:8">
      <c r="A241" s="594" t="str">
        <f t="shared" si="21"/>
        <v>Индустриален холдинг България АД</v>
      </c>
      <c r="B241" s="594" t="str">
        <f t="shared" si="22"/>
        <v>121631219</v>
      </c>
      <c r="C241" s="598">
        <f t="shared" si="23"/>
        <v>45838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>Индустриален холдинг България АД</v>
      </c>
      <c r="B242" s="594" t="str">
        <f t="shared" si="22"/>
        <v>121631219</v>
      </c>
      <c r="C242" s="598">
        <f t="shared" si="23"/>
        <v>45838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>Индустриален холдинг България АД</v>
      </c>
      <c r="B243" s="594" t="str">
        <f t="shared" si="22"/>
        <v>121631219</v>
      </c>
      <c r="C243" s="598">
        <f t="shared" si="23"/>
        <v>45838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>Индустриален холдинг България АД</v>
      </c>
      <c r="B244" s="594" t="str">
        <f t="shared" si="22"/>
        <v>121631219</v>
      </c>
      <c r="C244" s="598">
        <f t="shared" si="23"/>
        <v>45838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31016</v>
      </c>
    </row>
    <row r="245" spans="1:8">
      <c r="A245" s="594" t="str">
        <f t="shared" si="21"/>
        <v>Индустриален холдинг България АД</v>
      </c>
      <c r="B245" s="594" t="str">
        <f t="shared" si="22"/>
        <v>121631219</v>
      </c>
      <c r="C245" s="598">
        <f t="shared" si="23"/>
        <v>45838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>Индустриален холдинг България АД</v>
      </c>
      <c r="B246" s="594" t="str">
        <f t="shared" si="22"/>
        <v>121631219</v>
      </c>
      <c r="C246" s="598">
        <f t="shared" si="23"/>
        <v>45838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>Индустриален холдинг България АД</v>
      </c>
      <c r="B247" s="594" t="str">
        <f t="shared" si="22"/>
        <v>121631219</v>
      </c>
      <c r="C247" s="598">
        <f t="shared" si="23"/>
        <v>45838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>Индустриален холдинг България АД</v>
      </c>
      <c r="B248" s="594" t="str">
        <f t="shared" si="22"/>
        <v>121631219</v>
      </c>
      <c r="C248" s="598">
        <f t="shared" si="23"/>
        <v>45838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>Индустриален холдинг България АД</v>
      </c>
      <c r="B249" s="594" t="str">
        <f t="shared" si="22"/>
        <v>121631219</v>
      </c>
      <c r="C249" s="598">
        <f t="shared" si="23"/>
        <v>45838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>Индустриален холдинг България АД</v>
      </c>
      <c r="B250" s="594" t="str">
        <f t="shared" si="22"/>
        <v>121631219</v>
      </c>
      <c r="C250" s="598">
        <f t="shared" si="23"/>
        <v>45838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>Индустриален холдинг България АД</v>
      </c>
      <c r="B251" s="594" t="str">
        <f t="shared" si="22"/>
        <v>121631219</v>
      </c>
      <c r="C251" s="598">
        <f t="shared" si="23"/>
        <v>45838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>Индустриален холдинг България АД</v>
      </c>
      <c r="B252" s="594" t="str">
        <f t="shared" si="22"/>
        <v>121631219</v>
      </c>
      <c r="C252" s="598">
        <f t="shared" si="23"/>
        <v>45838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>Индустриален холдинг България АД</v>
      </c>
      <c r="B253" s="594" t="str">
        <f t="shared" si="22"/>
        <v>121631219</v>
      </c>
      <c r="C253" s="598">
        <f t="shared" si="23"/>
        <v>45838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>Индустриален холдинг България АД</v>
      </c>
      <c r="B254" s="594" t="str">
        <f t="shared" si="22"/>
        <v>121631219</v>
      </c>
      <c r="C254" s="598">
        <f t="shared" si="23"/>
        <v>45838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>Индустриален холдинг България АД</v>
      </c>
      <c r="B255" s="594" t="str">
        <f t="shared" si="22"/>
        <v>121631219</v>
      </c>
      <c r="C255" s="598">
        <f t="shared" si="23"/>
        <v>45838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>Индустриален холдинг България АД</v>
      </c>
      <c r="B256" s="594" t="str">
        <f t="shared" si="22"/>
        <v>121631219</v>
      </c>
      <c r="C256" s="598">
        <f t="shared" si="23"/>
        <v>45838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>Индустриален холдинг България АД</v>
      </c>
      <c r="B257" s="594" t="str">
        <f t="shared" si="22"/>
        <v>121631219</v>
      </c>
      <c r="C257" s="598">
        <f t="shared" si="23"/>
        <v>45838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0</v>
      </c>
    </row>
    <row r="258" spans="1:8">
      <c r="A258" s="594" t="str">
        <f t="shared" si="21"/>
        <v>Индустриален холдинг България АД</v>
      </c>
      <c r="B258" s="594" t="str">
        <f t="shared" si="22"/>
        <v>121631219</v>
      </c>
      <c r="C258" s="598">
        <f t="shared" si="23"/>
        <v>45838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31016</v>
      </c>
    </row>
    <row r="259" spans="1:8">
      <c r="A259" s="594" t="str">
        <f t="shared" si="21"/>
        <v>Индустриален холдинг България АД</v>
      </c>
      <c r="B259" s="594" t="str">
        <f t="shared" si="22"/>
        <v>121631219</v>
      </c>
      <c r="C259" s="598">
        <f t="shared" si="23"/>
        <v>45838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>Индустриален холдинг България АД</v>
      </c>
      <c r="B260" s="594" t="str">
        <f t="shared" si="22"/>
        <v>121631219</v>
      </c>
      <c r="C260" s="598">
        <f t="shared" si="23"/>
        <v>45838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>Индустриален холдинг България АД</v>
      </c>
      <c r="B261" s="594" t="str">
        <f t="shared" si="22"/>
        <v>121631219</v>
      </c>
      <c r="C261" s="598">
        <f t="shared" si="23"/>
        <v>45838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31016</v>
      </c>
    </row>
    <row r="262" spans="1:8">
      <c r="A262" s="594" t="str">
        <f t="shared" si="21"/>
        <v>Индустриален холдинг България АД</v>
      </c>
      <c r="B262" s="594" t="str">
        <f t="shared" si="22"/>
        <v>121631219</v>
      </c>
      <c r="C262" s="598">
        <f t="shared" si="23"/>
        <v>45838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80303</v>
      </c>
    </row>
    <row r="263" spans="1:8">
      <c r="A263" s="594" t="str">
        <f t="shared" si="21"/>
        <v>Индустриален холдинг България АД</v>
      </c>
      <c r="B263" s="594" t="str">
        <f t="shared" si="22"/>
        <v>121631219</v>
      </c>
      <c r="C263" s="598">
        <f t="shared" si="23"/>
        <v>45838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>Индустриален холдинг България АД</v>
      </c>
      <c r="B264" s="594" t="str">
        <f t="shared" si="22"/>
        <v>121631219</v>
      </c>
      <c r="C264" s="598">
        <f t="shared" si="23"/>
        <v>45838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>Индустриален холдинг България АД</v>
      </c>
      <c r="B265" s="594" t="str">
        <f t="shared" si="22"/>
        <v>121631219</v>
      </c>
      <c r="C265" s="598">
        <f t="shared" si="23"/>
        <v>45838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>Индустриален холдинг България АД</v>
      </c>
      <c r="B266" s="594" t="str">
        <f t="shared" si="22"/>
        <v>121631219</v>
      </c>
      <c r="C266" s="598">
        <f t="shared" si="23"/>
        <v>45838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80303</v>
      </c>
    </row>
    <row r="267" spans="1:8">
      <c r="A267" s="594" t="str">
        <f t="shared" si="21"/>
        <v>Индустриален холдинг България АД</v>
      </c>
      <c r="B267" s="594" t="str">
        <f t="shared" si="22"/>
        <v>121631219</v>
      </c>
      <c r="C267" s="598">
        <f t="shared" si="23"/>
        <v>45838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>Индустриален холдинг България АД</v>
      </c>
      <c r="B268" s="594" t="str">
        <f t="shared" si="22"/>
        <v>121631219</v>
      </c>
      <c r="C268" s="598">
        <f t="shared" si="23"/>
        <v>45838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0</v>
      </c>
    </row>
    <row r="269" spans="1:8">
      <c r="A269" s="594" t="str">
        <f t="shared" si="21"/>
        <v>Индустриален холдинг България АД</v>
      </c>
      <c r="B269" s="594" t="str">
        <f t="shared" si="22"/>
        <v>121631219</v>
      </c>
      <c r="C269" s="598">
        <f t="shared" si="23"/>
        <v>45838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>Индустриален холдинг България АД</v>
      </c>
      <c r="B270" s="594" t="str">
        <f t="shared" si="22"/>
        <v>121631219</v>
      </c>
      <c r="C270" s="598">
        <f t="shared" si="23"/>
        <v>45838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0</v>
      </c>
    </row>
    <row r="271" spans="1:8">
      <c r="A271" s="594" t="str">
        <f t="shared" si="21"/>
        <v>Индустриален холдинг България АД</v>
      </c>
      <c r="B271" s="594" t="str">
        <f t="shared" si="22"/>
        <v>121631219</v>
      </c>
      <c r="C271" s="598">
        <f t="shared" si="23"/>
        <v>45838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>Индустриален холдинг България АД</v>
      </c>
      <c r="B272" s="594" t="str">
        <f t="shared" si="22"/>
        <v>121631219</v>
      </c>
      <c r="C272" s="598">
        <f t="shared" si="23"/>
        <v>45838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>Индустриален холдинг България АД</v>
      </c>
      <c r="B273" s="594" t="str">
        <f t="shared" si="22"/>
        <v>121631219</v>
      </c>
      <c r="C273" s="598">
        <f t="shared" si="23"/>
        <v>45838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>Индустриален холдинг България АД</v>
      </c>
      <c r="B274" s="594" t="str">
        <f t="shared" si="22"/>
        <v>121631219</v>
      </c>
      <c r="C274" s="598">
        <f t="shared" si="23"/>
        <v>45838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>Индустриален холдинг България АД</v>
      </c>
      <c r="B275" s="594" t="str">
        <f t="shared" si="22"/>
        <v>121631219</v>
      </c>
      <c r="C275" s="598">
        <f t="shared" si="23"/>
        <v>45838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108</v>
      </c>
    </row>
    <row r="276" spans="1:8">
      <c r="A276" s="594" t="str">
        <f t="shared" si="21"/>
        <v>Индустриален холдинг България АД</v>
      </c>
      <c r="B276" s="594" t="str">
        <f t="shared" si="22"/>
        <v>121631219</v>
      </c>
      <c r="C276" s="598">
        <f t="shared" si="23"/>
        <v>45838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108</v>
      </c>
    </row>
    <row r="277" spans="1:8">
      <c r="A277" s="594" t="str">
        <f t="shared" si="21"/>
        <v>Индустриален холдинг България АД</v>
      </c>
      <c r="B277" s="594" t="str">
        <f t="shared" si="22"/>
        <v>121631219</v>
      </c>
      <c r="C277" s="598">
        <f t="shared" si="23"/>
        <v>45838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>Индустриален холдинг България АД</v>
      </c>
      <c r="B278" s="594" t="str">
        <f t="shared" si="22"/>
        <v>121631219</v>
      </c>
      <c r="C278" s="598">
        <f t="shared" si="23"/>
        <v>45838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>Индустриален холдинг България АД</v>
      </c>
      <c r="B279" s="594" t="str">
        <f t="shared" si="22"/>
        <v>121631219</v>
      </c>
      <c r="C279" s="598">
        <f t="shared" si="23"/>
        <v>45838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137</v>
      </c>
    </row>
    <row r="280" spans="1:8">
      <c r="A280" s="594" t="str">
        <f t="shared" si="21"/>
        <v>Индустриален холдинг България АД</v>
      </c>
      <c r="B280" s="594" t="str">
        <f t="shared" si="22"/>
        <v>121631219</v>
      </c>
      <c r="C280" s="598">
        <f t="shared" si="23"/>
        <v>45838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80548</v>
      </c>
    </row>
    <row r="281" spans="1:8">
      <c r="A281" s="594" t="str">
        <f t="shared" si="21"/>
        <v>Индустриален холдинг България АД</v>
      </c>
      <c r="B281" s="594" t="str">
        <f t="shared" si="22"/>
        <v>121631219</v>
      </c>
      <c r="C281" s="598">
        <f t="shared" si="23"/>
        <v>45838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>Индустриален холдинг България АД</v>
      </c>
      <c r="B282" s="594" t="str">
        <f t="shared" ref="B282:B345" si="25">pdeBulstat</f>
        <v>121631219</v>
      </c>
      <c r="C282" s="598">
        <f t="shared" ref="C282:C345" si="26">endDate</f>
        <v>45838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>Индустриален холдинг България АД</v>
      </c>
      <c r="B283" s="594" t="str">
        <f t="shared" si="25"/>
        <v>121631219</v>
      </c>
      <c r="C283" s="598">
        <f t="shared" si="26"/>
        <v>45838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80548</v>
      </c>
    </row>
    <row r="284" spans="1:8">
      <c r="A284" s="594" t="str">
        <f t="shared" si="24"/>
        <v>Индустриален холдинг България АД</v>
      </c>
      <c r="B284" s="594" t="str">
        <f t="shared" si="25"/>
        <v>121631219</v>
      </c>
      <c r="C284" s="598">
        <f t="shared" si="26"/>
        <v>45838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4563</v>
      </c>
    </row>
    <row r="285" spans="1:8">
      <c r="A285" s="594" t="str">
        <f t="shared" si="24"/>
        <v>Индустриален холдинг България АД</v>
      </c>
      <c r="B285" s="594" t="str">
        <f t="shared" si="25"/>
        <v>121631219</v>
      </c>
      <c r="C285" s="598">
        <f t="shared" si="26"/>
        <v>45838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>Индустриален холдинг България АД</v>
      </c>
      <c r="B286" s="594" t="str">
        <f t="shared" si="25"/>
        <v>121631219</v>
      </c>
      <c r="C286" s="598">
        <f t="shared" si="26"/>
        <v>45838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>Индустриален холдинг България АД</v>
      </c>
      <c r="B287" s="594" t="str">
        <f t="shared" si="25"/>
        <v>121631219</v>
      </c>
      <c r="C287" s="598">
        <f t="shared" si="26"/>
        <v>45838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>Индустриален холдинг България АД</v>
      </c>
      <c r="B288" s="594" t="str">
        <f t="shared" si="25"/>
        <v>121631219</v>
      </c>
      <c r="C288" s="598">
        <f t="shared" si="26"/>
        <v>45838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4563</v>
      </c>
    </row>
    <row r="289" spans="1:8">
      <c r="A289" s="594" t="str">
        <f t="shared" si="24"/>
        <v>Индустриален холдинг България АД</v>
      </c>
      <c r="B289" s="594" t="str">
        <f t="shared" si="25"/>
        <v>121631219</v>
      </c>
      <c r="C289" s="598">
        <f t="shared" si="26"/>
        <v>45838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>Индустриален холдинг България АД</v>
      </c>
      <c r="B290" s="594" t="str">
        <f t="shared" si="25"/>
        <v>121631219</v>
      </c>
      <c r="C290" s="598">
        <f t="shared" si="26"/>
        <v>45838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-439</v>
      </c>
    </row>
    <row r="291" spans="1:8">
      <c r="A291" s="594" t="str">
        <f t="shared" si="24"/>
        <v>Индустриален холдинг България АД</v>
      </c>
      <c r="B291" s="594" t="str">
        <f t="shared" si="25"/>
        <v>121631219</v>
      </c>
      <c r="C291" s="598">
        <f t="shared" si="26"/>
        <v>45838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>Индустриален холдинг България АД</v>
      </c>
      <c r="B292" s="594" t="str">
        <f t="shared" si="25"/>
        <v>121631219</v>
      </c>
      <c r="C292" s="598">
        <f t="shared" si="26"/>
        <v>45838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-439</v>
      </c>
    </row>
    <row r="293" spans="1:8">
      <c r="A293" s="594" t="str">
        <f t="shared" si="24"/>
        <v>Индустриален холдинг България АД</v>
      </c>
      <c r="B293" s="594" t="str">
        <f t="shared" si="25"/>
        <v>121631219</v>
      </c>
      <c r="C293" s="598">
        <f t="shared" si="26"/>
        <v>45838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>Индустриален холдинг България АД</v>
      </c>
      <c r="B294" s="594" t="str">
        <f t="shared" si="25"/>
        <v>121631219</v>
      </c>
      <c r="C294" s="598">
        <f t="shared" si="26"/>
        <v>45838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>Индустриален холдинг България АД</v>
      </c>
      <c r="B295" s="594" t="str">
        <f t="shared" si="25"/>
        <v>121631219</v>
      </c>
      <c r="C295" s="598">
        <f t="shared" si="26"/>
        <v>45838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>Индустриален холдинг България АД</v>
      </c>
      <c r="B296" s="594" t="str">
        <f t="shared" si="25"/>
        <v>121631219</v>
      </c>
      <c r="C296" s="598">
        <f t="shared" si="26"/>
        <v>45838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>Индустриален холдинг България АД</v>
      </c>
      <c r="B297" s="594" t="str">
        <f t="shared" si="25"/>
        <v>121631219</v>
      </c>
      <c r="C297" s="598">
        <f t="shared" si="26"/>
        <v>45838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>Индустриален холдинг България АД</v>
      </c>
      <c r="B298" s="594" t="str">
        <f t="shared" si="25"/>
        <v>121631219</v>
      </c>
      <c r="C298" s="598">
        <f t="shared" si="26"/>
        <v>45838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>Индустриален холдинг България АД</v>
      </c>
      <c r="B299" s="594" t="str">
        <f t="shared" si="25"/>
        <v>121631219</v>
      </c>
      <c r="C299" s="598">
        <f t="shared" si="26"/>
        <v>45838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>Индустриален холдинг България АД</v>
      </c>
      <c r="B300" s="594" t="str">
        <f t="shared" si="25"/>
        <v>121631219</v>
      </c>
      <c r="C300" s="598">
        <f t="shared" si="26"/>
        <v>45838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>Индустриален холдинг България АД</v>
      </c>
      <c r="B301" s="594" t="str">
        <f t="shared" si="25"/>
        <v>121631219</v>
      </c>
      <c r="C301" s="598">
        <f t="shared" si="26"/>
        <v>45838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99</v>
      </c>
    </row>
    <row r="302" spans="1:8">
      <c r="A302" s="594" t="str">
        <f t="shared" si="24"/>
        <v>Индустриален холдинг България АД</v>
      </c>
      <c r="B302" s="594" t="str">
        <f t="shared" si="25"/>
        <v>121631219</v>
      </c>
      <c r="C302" s="598">
        <f t="shared" si="26"/>
        <v>45838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4223</v>
      </c>
    </row>
    <row r="303" spans="1:8">
      <c r="A303" s="594" t="str">
        <f t="shared" si="24"/>
        <v>Индустриален холдинг България АД</v>
      </c>
      <c r="B303" s="594" t="str">
        <f t="shared" si="25"/>
        <v>121631219</v>
      </c>
      <c r="C303" s="598">
        <f t="shared" si="26"/>
        <v>45838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>Индустриален холдинг България АД</v>
      </c>
      <c r="B304" s="594" t="str">
        <f t="shared" si="25"/>
        <v>121631219</v>
      </c>
      <c r="C304" s="598">
        <f t="shared" si="26"/>
        <v>45838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>Индустриален холдинг България АД</v>
      </c>
      <c r="B305" s="594" t="str">
        <f t="shared" si="25"/>
        <v>121631219</v>
      </c>
      <c r="C305" s="598">
        <f t="shared" si="26"/>
        <v>45838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4223</v>
      </c>
    </row>
    <row r="306" spans="1:8">
      <c r="A306" s="594" t="str">
        <f t="shared" si="24"/>
        <v>Индустриален холдинг България АД</v>
      </c>
      <c r="B306" s="594" t="str">
        <f t="shared" si="25"/>
        <v>121631219</v>
      </c>
      <c r="C306" s="598">
        <f t="shared" si="26"/>
        <v>45838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>Индустриален холдинг България АД</v>
      </c>
      <c r="B307" s="594" t="str">
        <f t="shared" si="25"/>
        <v>121631219</v>
      </c>
      <c r="C307" s="598">
        <f t="shared" si="26"/>
        <v>45838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>Индустриален холдинг България АД</v>
      </c>
      <c r="B308" s="594" t="str">
        <f t="shared" si="25"/>
        <v>121631219</v>
      </c>
      <c r="C308" s="598">
        <f t="shared" si="26"/>
        <v>45838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>Индустриален холдинг България АД</v>
      </c>
      <c r="B309" s="594" t="str">
        <f t="shared" si="25"/>
        <v>121631219</v>
      </c>
      <c r="C309" s="598">
        <f t="shared" si="26"/>
        <v>45838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>Индустриален холдинг България АД</v>
      </c>
      <c r="B310" s="594" t="str">
        <f t="shared" si="25"/>
        <v>121631219</v>
      </c>
      <c r="C310" s="598">
        <f t="shared" si="26"/>
        <v>45838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>Индустриален холдинг България АД</v>
      </c>
      <c r="B311" s="594" t="str">
        <f t="shared" si="25"/>
        <v>121631219</v>
      </c>
      <c r="C311" s="598">
        <f t="shared" si="26"/>
        <v>45838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>Индустриален холдинг България АД</v>
      </c>
      <c r="B312" s="594" t="str">
        <f t="shared" si="25"/>
        <v>121631219</v>
      </c>
      <c r="C312" s="598">
        <f t="shared" si="26"/>
        <v>45838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>Индустриален холдинг България АД</v>
      </c>
      <c r="B313" s="594" t="str">
        <f t="shared" si="25"/>
        <v>121631219</v>
      </c>
      <c r="C313" s="598">
        <f t="shared" si="26"/>
        <v>45838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>Индустриален холдинг България АД</v>
      </c>
      <c r="B314" s="594" t="str">
        <f t="shared" si="25"/>
        <v>121631219</v>
      </c>
      <c r="C314" s="598">
        <f t="shared" si="26"/>
        <v>45838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>Индустриален холдинг България АД</v>
      </c>
      <c r="B315" s="594" t="str">
        <f t="shared" si="25"/>
        <v>121631219</v>
      </c>
      <c r="C315" s="598">
        <f t="shared" si="26"/>
        <v>45838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>Индустриален холдинг България АД</v>
      </c>
      <c r="B316" s="594" t="str">
        <f t="shared" si="25"/>
        <v>121631219</v>
      </c>
      <c r="C316" s="598">
        <f t="shared" si="26"/>
        <v>45838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>Индустриален холдинг България АД</v>
      </c>
      <c r="B317" s="594" t="str">
        <f t="shared" si="25"/>
        <v>121631219</v>
      </c>
      <c r="C317" s="598">
        <f t="shared" si="26"/>
        <v>45838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>Индустриален холдинг България АД</v>
      </c>
      <c r="B318" s="594" t="str">
        <f t="shared" si="25"/>
        <v>121631219</v>
      </c>
      <c r="C318" s="598">
        <f t="shared" si="26"/>
        <v>45838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>Индустриален холдинг България АД</v>
      </c>
      <c r="B319" s="594" t="str">
        <f t="shared" si="25"/>
        <v>121631219</v>
      </c>
      <c r="C319" s="598">
        <f t="shared" si="26"/>
        <v>45838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>Индустриален холдинг България АД</v>
      </c>
      <c r="B320" s="594" t="str">
        <f t="shared" si="25"/>
        <v>121631219</v>
      </c>
      <c r="C320" s="598">
        <f t="shared" si="26"/>
        <v>45838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>Индустриален холдинг България АД</v>
      </c>
      <c r="B321" s="594" t="str">
        <f t="shared" si="25"/>
        <v>121631219</v>
      </c>
      <c r="C321" s="598">
        <f t="shared" si="26"/>
        <v>45838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>Индустриален холдинг България АД</v>
      </c>
      <c r="B322" s="594" t="str">
        <f t="shared" si="25"/>
        <v>121631219</v>
      </c>
      <c r="C322" s="598">
        <f t="shared" si="26"/>
        <v>45838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>Индустриален холдинг България АД</v>
      </c>
      <c r="B323" s="594" t="str">
        <f t="shared" si="25"/>
        <v>121631219</v>
      </c>
      <c r="C323" s="598">
        <f t="shared" si="26"/>
        <v>45838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>Индустриален холдинг България АД</v>
      </c>
      <c r="B324" s="594" t="str">
        <f t="shared" si="25"/>
        <v>121631219</v>
      </c>
      <c r="C324" s="598">
        <f t="shared" si="26"/>
        <v>45838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>Индустриален холдинг България АД</v>
      </c>
      <c r="B325" s="594" t="str">
        <f t="shared" si="25"/>
        <v>121631219</v>
      </c>
      <c r="C325" s="598">
        <f t="shared" si="26"/>
        <v>45838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>Индустриален холдинг България АД</v>
      </c>
      <c r="B326" s="594" t="str">
        <f t="shared" si="25"/>
        <v>121631219</v>
      </c>
      <c r="C326" s="598">
        <f t="shared" si="26"/>
        <v>45838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>Индустриален холдинг България АД</v>
      </c>
      <c r="B327" s="594" t="str">
        <f t="shared" si="25"/>
        <v>121631219</v>
      </c>
      <c r="C327" s="598">
        <f t="shared" si="26"/>
        <v>45838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>Индустриален холдинг България АД</v>
      </c>
      <c r="B328" s="594" t="str">
        <f t="shared" si="25"/>
        <v>121631219</v>
      </c>
      <c r="C328" s="598">
        <f t="shared" si="26"/>
        <v>45838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0</v>
      </c>
    </row>
    <row r="329" spans="1:8">
      <c r="A329" s="594" t="str">
        <f t="shared" si="24"/>
        <v>Индустриален холдинг България АД</v>
      </c>
      <c r="B329" s="594" t="str">
        <f t="shared" si="25"/>
        <v>121631219</v>
      </c>
      <c r="C329" s="598">
        <f t="shared" si="26"/>
        <v>45838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>Индустриален холдинг България АД</v>
      </c>
      <c r="B330" s="594" t="str">
        <f t="shared" si="25"/>
        <v>121631219</v>
      </c>
      <c r="C330" s="598">
        <f t="shared" si="26"/>
        <v>45838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>Индустриален холдинг България АД</v>
      </c>
      <c r="B331" s="594" t="str">
        <f t="shared" si="25"/>
        <v>121631219</v>
      </c>
      <c r="C331" s="598">
        <f t="shared" si="26"/>
        <v>45838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>Индустриален холдинг България АД</v>
      </c>
      <c r="B332" s="594" t="str">
        <f t="shared" si="25"/>
        <v>121631219</v>
      </c>
      <c r="C332" s="598">
        <f t="shared" si="26"/>
        <v>45838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0</v>
      </c>
    </row>
    <row r="333" spans="1:8">
      <c r="A333" s="594" t="str">
        <f t="shared" si="24"/>
        <v>Индустриален холдинг България АД</v>
      </c>
      <c r="B333" s="594" t="str">
        <f t="shared" si="25"/>
        <v>121631219</v>
      </c>
      <c r="C333" s="598">
        <f t="shared" si="26"/>
        <v>45838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>Индустриален холдинг България АД</v>
      </c>
      <c r="B334" s="594" t="str">
        <f t="shared" si="25"/>
        <v>121631219</v>
      </c>
      <c r="C334" s="598">
        <f t="shared" si="26"/>
        <v>45838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>Индустриален холдинг България АД</v>
      </c>
      <c r="B335" s="594" t="str">
        <f t="shared" si="25"/>
        <v>121631219</v>
      </c>
      <c r="C335" s="598">
        <f t="shared" si="26"/>
        <v>45838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>Индустриален холдинг България АД</v>
      </c>
      <c r="B336" s="594" t="str">
        <f t="shared" si="25"/>
        <v>121631219</v>
      </c>
      <c r="C336" s="598">
        <f t="shared" si="26"/>
        <v>45838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>Индустриален холдинг България АД</v>
      </c>
      <c r="B337" s="594" t="str">
        <f t="shared" si="25"/>
        <v>121631219</v>
      </c>
      <c r="C337" s="598">
        <f t="shared" si="26"/>
        <v>45838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>Индустриален холдинг България АД</v>
      </c>
      <c r="B338" s="594" t="str">
        <f t="shared" si="25"/>
        <v>121631219</v>
      </c>
      <c r="C338" s="598">
        <f t="shared" si="26"/>
        <v>45838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>Индустриален холдинг България АД</v>
      </c>
      <c r="B339" s="594" t="str">
        <f t="shared" si="25"/>
        <v>121631219</v>
      </c>
      <c r="C339" s="598">
        <f t="shared" si="26"/>
        <v>45838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>Индустриален холдинг България АД</v>
      </c>
      <c r="B340" s="594" t="str">
        <f t="shared" si="25"/>
        <v>121631219</v>
      </c>
      <c r="C340" s="598">
        <f t="shared" si="26"/>
        <v>45838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>Индустриален холдинг България АД</v>
      </c>
      <c r="B341" s="594" t="str">
        <f t="shared" si="25"/>
        <v>121631219</v>
      </c>
      <c r="C341" s="598">
        <f t="shared" si="26"/>
        <v>45838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>Индустриален холдинг България АД</v>
      </c>
      <c r="B342" s="594" t="str">
        <f t="shared" si="25"/>
        <v>121631219</v>
      </c>
      <c r="C342" s="598">
        <f t="shared" si="26"/>
        <v>45838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>Индустриален холдинг България АД</v>
      </c>
      <c r="B343" s="594" t="str">
        <f t="shared" si="25"/>
        <v>121631219</v>
      </c>
      <c r="C343" s="598">
        <f t="shared" si="26"/>
        <v>45838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>Индустриален холдинг България АД</v>
      </c>
      <c r="B344" s="594" t="str">
        <f t="shared" si="25"/>
        <v>121631219</v>
      </c>
      <c r="C344" s="598">
        <f t="shared" si="26"/>
        <v>45838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>Индустриален холдинг България АД</v>
      </c>
      <c r="B345" s="594" t="str">
        <f t="shared" si="25"/>
        <v>121631219</v>
      </c>
      <c r="C345" s="598">
        <f t="shared" si="26"/>
        <v>45838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0</v>
      </c>
    </row>
    <row r="346" spans="1:8">
      <c r="A346" s="594" t="str">
        <f t="shared" ref="A346:A409" si="27">pdeName</f>
        <v>Индустриален холдинг България АД</v>
      </c>
      <c r="B346" s="594" t="str">
        <f t="shared" ref="B346:B409" si="28">pdeBulstat</f>
        <v>121631219</v>
      </c>
      <c r="C346" s="598">
        <f t="shared" ref="C346:C409" si="29">endDate</f>
        <v>45838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0</v>
      </c>
    </row>
    <row r="347" spans="1:8">
      <c r="A347" s="594" t="str">
        <f t="shared" si="27"/>
        <v>Индустриален холдинг България АД</v>
      </c>
      <c r="B347" s="594" t="str">
        <f t="shared" si="28"/>
        <v>121631219</v>
      </c>
      <c r="C347" s="598">
        <f t="shared" si="29"/>
        <v>45838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>Индустриален холдинг България АД</v>
      </c>
      <c r="B348" s="594" t="str">
        <f t="shared" si="28"/>
        <v>121631219</v>
      </c>
      <c r="C348" s="598">
        <f t="shared" si="29"/>
        <v>45838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>Индустриален холдинг България АД</v>
      </c>
      <c r="B349" s="594" t="str">
        <f t="shared" si="28"/>
        <v>121631219</v>
      </c>
      <c r="C349" s="598">
        <f t="shared" si="29"/>
        <v>45838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0</v>
      </c>
    </row>
    <row r="350" spans="1:8">
      <c r="A350" s="594" t="str">
        <f t="shared" si="27"/>
        <v>Индустриален холдинг България АД</v>
      </c>
      <c r="B350" s="594" t="str">
        <f t="shared" si="28"/>
        <v>121631219</v>
      </c>
      <c r="C350" s="598">
        <f t="shared" si="29"/>
        <v>45838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166836</v>
      </c>
    </row>
    <row r="351" spans="1:8">
      <c r="A351" s="594" t="str">
        <f t="shared" si="27"/>
        <v>Индустриален холдинг България АД</v>
      </c>
      <c r="B351" s="594" t="str">
        <f t="shared" si="28"/>
        <v>121631219</v>
      </c>
      <c r="C351" s="598">
        <f t="shared" si="29"/>
        <v>45838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0</v>
      </c>
    </row>
    <row r="352" spans="1:8">
      <c r="A352" s="594" t="str">
        <f t="shared" si="27"/>
        <v>Индустриален холдинг България АД</v>
      </c>
      <c r="B352" s="594" t="str">
        <f t="shared" si="28"/>
        <v>121631219</v>
      </c>
      <c r="C352" s="598">
        <f t="shared" si="29"/>
        <v>45838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0</v>
      </c>
    </row>
    <row r="353" spans="1:8">
      <c r="A353" s="594" t="str">
        <f t="shared" si="27"/>
        <v>Индустриален холдинг България АД</v>
      </c>
      <c r="B353" s="594" t="str">
        <f t="shared" si="28"/>
        <v>121631219</v>
      </c>
      <c r="C353" s="598">
        <f t="shared" si="29"/>
        <v>45838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>Индустриален холдинг България АД</v>
      </c>
      <c r="B354" s="594" t="str">
        <f t="shared" si="28"/>
        <v>121631219</v>
      </c>
      <c r="C354" s="598">
        <f t="shared" si="29"/>
        <v>45838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166836</v>
      </c>
    </row>
    <row r="355" spans="1:8">
      <c r="A355" s="594" t="str">
        <f t="shared" si="27"/>
        <v>Индустриален холдинг България АД</v>
      </c>
      <c r="B355" s="594" t="str">
        <f t="shared" si="28"/>
        <v>121631219</v>
      </c>
      <c r="C355" s="598">
        <f t="shared" si="29"/>
        <v>45838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0</v>
      </c>
    </row>
    <row r="356" spans="1:8">
      <c r="A356" s="594" t="str">
        <f t="shared" si="27"/>
        <v>Индустриален холдинг България АД</v>
      </c>
      <c r="B356" s="594" t="str">
        <f t="shared" si="28"/>
        <v>121631219</v>
      </c>
      <c r="C356" s="598">
        <f t="shared" si="29"/>
        <v>45838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439</v>
      </c>
    </row>
    <row r="357" spans="1:8">
      <c r="A357" s="594" t="str">
        <f t="shared" si="27"/>
        <v>Индустриален холдинг България АД</v>
      </c>
      <c r="B357" s="594" t="str">
        <f t="shared" si="28"/>
        <v>121631219</v>
      </c>
      <c r="C357" s="598">
        <f t="shared" si="29"/>
        <v>45838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0</v>
      </c>
    </row>
    <row r="358" spans="1:8">
      <c r="A358" s="594" t="str">
        <f t="shared" si="27"/>
        <v>Индустриален холдинг България АД</v>
      </c>
      <c r="B358" s="594" t="str">
        <f t="shared" si="28"/>
        <v>121631219</v>
      </c>
      <c r="C358" s="598">
        <f t="shared" si="29"/>
        <v>45838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439</v>
      </c>
    </row>
    <row r="359" spans="1:8">
      <c r="A359" s="594" t="str">
        <f t="shared" si="27"/>
        <v>Индустриален холдинг България АД</v>
      </c>
      <c r="B359" s="594" t="str">
        <f t="shared" si="28"/>
        <v>121631219</v>
      </c>
      <c r="C359" s="598">
        <f t="shared" si="29"/>
        <v>45838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>Индустриален холдинг България АД</v>
      </c>
      <c r="B360" s="594" t="str">
        <f t="shared" si="28"/>
        <v>121631219</v>
      </c>
      <c r="C360" s="598">
        <f t="shared" si="29"/>
        <v>45838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>Индустриален холдинг България АД</v>
      </c>
      <c r="B361" s="594" t="str">
        <f t="shared" si="28"/>
        <v>121631219</v>
      </c>
      <c r="C361" s="598">
        <f t="shared" si="29"/>
        <v>45838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>Индустриален холдинг България АД</v>
      </c>
      <c r="B362" s="594" t="str">
        <f t="shared" si="28"/>
        <v>121631219</v>
      </c>
      <c r="C362" s="598">
        <f t="shared" si="29"/>
        <v>45838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>Индустриален холдинг България АД</v>
      </c>
      <c r="B363" s="594" t="str">
        <f t="shared" si="28"/>
        <v>121631219</v>
      </c>
      <c r="C363" s="598">
        <f t="shared" si="29"/>
        <v>45838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>Индустриален холдинг България АД</v>
      </c>
      <c r="B364" s="594" t="str">
        <f t="shared" si="28"/>
        <v>121631219</v>
      </c>
      <c r="C364" s="598">
        <f t="shared" si="29"/>
        <v>45838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>Индустриален холдинг България АД</v>
      </c>
      <c r="B365" s="594" t="str">
        <f t="shared" si="28"/>
        <v>121631219</v>
      </c>
      <c r="C365" s="598">
        <f t="shared" si="29"/>
        <v>45838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>Индустриален холдинг България АД</v>
      </c>
      <c r="B366" s="594" t="str">
        <f t="shared" si="28"/>
        <v>121631219</v>
      </c>
      <c r="C366" s="598">
        <f t="shared" si="29"/>
        <v>45838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>Индустриален холдинг България АД</v>
      </c>
      <c r="B367" s="594" t="str">
        <f t="shared" si="28"/>
        <v>121631219</v>
      </c>
      <c r="C367" s="598">
        <f t="shared" si="29"/>
        <v>45838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264</v>
      </c>
    </row>
    <row r="368" spans="1:8">
      <c r="A368" s="594" t="str">
        <f t="shared" si="27"/>
        <v>Индустриален холдинг България АД</v>
      </c>
      <c r="B368" s="594" t="str">
        <f t="shared" si="28"/>
        <v>121631219</v>
      </c>
      <c r="C368" s="598">
        <f t="shared" si="29"/>
        <v>45838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167539</v>
      </c>
    </row>
    <row r="369" spans="1:8">
      <c r="A369" s="594" t="str">
        <f t="shared" si="27"/>
        <v>Индустриален холдинг България АД</v>
      </c>
      <c r="B369" s="594" t="str">
        <f t="shared" si="28"/>
        <v>121631219</v>
      </c>
      <c r="C369" s="598">
        <f t="shared" si="29"/>
        <v>45838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>Индустриален холдинг България АД</v>
      </c>
      <c r="B370" s="594" t="str">
        <f t="shared" si="28"/>
        <v>121631219</v>
      </c>
      <c r="C370" s="598">
        <f t="shared" si="29"/>
        <v>45838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>Индустриален холдинг България АД</v>
      </c>
      <c r="B371" s="594" t="str">
        <f t="shared" si="28"/>
        <v>121631219</v>
      </c>
      <c r="C371" s="598">
        <f t="shared" si="29"/>
        <v>45838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167539</v>
      </c>
    </row>
    <row r="372" spans="1:8">
      <c r="A372" s="594" t="str">
        <f t="shared" si="27"/>
        <v>Индустриален холдинг България АД</v>
      </c>
      <c r="B372" s="594" t="str">
        <f t="shared" si="28"/>
        <v>121631219</v>
      </c>
      <c r="C372" s="598">
        <f t="shared" si="29"/>
        <v>45838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0</v>
      </c>
    </row>
    <row r="373" spans="1:8">
      <c r="A373" s="594" t="str">
        <f t="shared" si="27"/>
        <v>Индустриален холдинг България АД</v>
      </c>
      <c r="B373" s="594" t="str">
        <f t="shared" si="28"/>
        <v>121631219</v>
      </c>
      <c r="C373" s="598">
        <f t="shared" si="29"/>
        <v>45838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>Индустриален холдинг България АД</v>
      </c>
      <c r="B374" s="594" t="str">
        <f t="shared" si="28"/>
        <v>121631219</v>
      </c>
      <c r="C374" s="598">
        <f t="shared" si="29"/>
        <v>45838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>Индустриален холдинг България АД</v>
      </c>
      <c r="B375" s="594" t="str">
        <f t="shared" si="28"/>
        <v>121631219</v>
      </c>
      <c r="C375" s="598">
        <f t="shared" si="29"/>
        <v>45838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>Индустриален холдинг България АД</v>
      </c>
      <c r="B376" s="594" t="str">
        <f t="shared" si="28"/>
        <v>121631219</v>
      </c>
      <c r="C376" s="598">
        <f t="shared" si="29"/>
        <v>45838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0</v>
      </c>
    </row>
    <row r="377" spans="1:8">
      <c r="A377" s="594" t="str">
        <f t="shared" si="27"/>
        <v>Индустриален холдинг България АД</v>
      </c>
      <c r="B377" s="594" t="str">
        <f t="shared" si="28"/>
        <v>121631219</v>
      </c>
      <c r="C377" s="598">
        <f t="shared" si="29"/>
        <v>45838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-1461</v>
      </c>
    </row>
    <row r="378" spans="1:8">
      <c r="A378" s="594" t="str">
        <f t="shared" si="27"/>
        <v>Индустриален холдинг България АД</v>
      </c>
      <c r="B378" s="594" t="str">
        <f t="shared" si="28"/>
        <v>121631219</v>
      </c>
      <c r="C378" s="598">
        <f t="shared" si="29"/>
        <v>45838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>Индустриален холдинг България АД</v>
      </c>
      <c r="B379" s="594" t="str">
        <f t="shared" si="28"/>
        <v>121631219</v>
      </c>
      <c r="C379" s="598">
        <f t="shared" si="29"/>
        <v>45838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>Индустриален холдинг България АД</v>
      </c>
      <c r="B380" s="594" t="str">
        <f t="shared" si="28"/>
        <v>121631219</v>
      </c>
      <c r="C380" s="598">
        <f t="shared" si="29"/>
        <v>45838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>Индустриален холдинг България АД</v>
      </c>
      <c r="B381" s="594" t="str">
        <f t="shared" si="28"/>
        <v>121631219</v>
      </c>
      <c r="C381" s="598">
        <f t="shared" si="29"/>
        <v>45838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>Индустриален холдинг България АД</v>
      </c>
      <c r="B382" s="594" t="str">
        <f t="shared" si="28"/>
        <v>121631219</v>
      </c>
      <c r="C382" s="598">
        <f t="shared" si="29"/>
        <v>45838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>Индустриален холдинг България АД</v>
      </c>
      <c r="B383" s="594" t="str">
        <f t="shared" si="28"/>
        <v>121631219</v>
      </c>
      <c r="C383" s="598">
        <f t="shared" si="29"/>
        <v>45838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>Индустриален холдинг България АД</v>
      </c>
      <c r="B384" s="594" t="str">
        <f t="shared" si="28"/>
        <v>121631219</v>
      </c>
      <c r="C384" s="598">
        <f t="shared" si="29"/>
        <v>45838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>Индустриален холдинг България АД</v>
      </c>
      <c r="B385" s="594" t="str">
        <f t="shared" si="28"/>
        <v>121631219</v>
      </c>
      <c r="C385" s="598">
        <f t="shared" si="29"/>
        <v>45838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>Индустриален холдинг България АД</v>
      </c>
      <c r="B386" s="594" t="str">
        <f t="shared" si="28"/>
        <v>121631219</v>
      </c>
      <c r="C386" s="598">
        <f t="shared" si="29"/>
        <v>45838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>Индустриален холдинг България АД</v>
      </c>
      <c r="B387" s="594" t="str">
        <f t="shared" si="28"/>
        <v>121631219</v>
      </c>
      <c r="C387" s="598">
        <f t="shared" si="29"/>
        <v>45838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>Индустриален холдинг България АД</v>
      </c>
      <c r="B388" s="594" t="str">
        <f t="shared" si="28"/>
        <v>121631219</v>
      </c>
      <c r="C388" s="598">
        <f t="shared" si="29"/>
        <v>45838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>Индустриален холдинг България АД</v>
      </c>
      <c r="B389" s="594" t="str">
        <f t="shared" si="28"/>
        <v>121631219</v>
      </c>
      <c r="C389" s="598">
        <f t="shared" si="29"/>
        <v>45838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>Индустриален холдинг България АД</v>
      </c>
      <c r="B390" s="594" t="str">
        <f t="shared" si="28"/>
        <v>121631219</v>
      </c>
      <c r="C390" s="598">
        <f t="shared" si="29"/>
        <v>45838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-1461</v>
      </c>
    </row>
    <row r="391" spans="1:8">
      <c r="A391" s="594" t="str">
        <f t="shared" si="27"/>
        <v>Индустриален холдинг България АД</v>
      </c>
      <c r="B391" s="594" t="str">
        <f t="shared" si="28"/>
        <v>121631219</v>
      </c>
      <c r="C391" s="598">
        <f t="shared" si="29"/>
        <v>45838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>Индустриален холдинг България АД</v>
      </c>
      <c r="B392" s="594" t="str">
        <f t="shared" si="28"/>
        <v>121631219</v>
      </c>
      <c r="C392" s="598">
        <f t="shared" si="29"/>
        <v>45838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>Индустриален холдинг България АД</v>
      </c>
      <c r="B393" s="594" t="str">
        <f t="shared" si="28"/>
        <v>121631219</v>
      </c>
      <c r="C393" s="598">
        <f t="shared" si="29"/>
        <v>45838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-1461</v>
      </c>
    </row>
    <row r="394" spans="1:8">
      <c r="A394" s="594" t="str">
        <f t="shared" si="27"/>
        <v>Индустриален холдинг България АД</v>
      </c>
      <c r="B394" s="594" t="str">
        <f t="shared" si="28"/>
        <v>121631219</v>
      </c>
      <c r="C394" s="598">
        <f t="shared" si="29"/>
        <v>45838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28426</v>
      </c>
    </row>
    <row r="395" spans="1:8">
      <c r="A395" s="594" t="str">
        <f t="shared" si="27"/>
        <v>Индустриален холдинг България АД</v>
      </c>
      <c r="B395" s="594" t="str">
        <f t="shared" si="28"/>
        <v>121631219</v>
      </c>
      <c r="C395" s="598">
        <f t="shared" si="29"/>
        <v>45838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>Индустриален холдинг България АД</v>
      </c>
      <c r="B396" s="594" t="str">
        <f t="shared" si="28"/>
        <v>121631219</v>
      </c>
      <c r="C396" s="598">
        <f t="shared" si="29"/>
        <v>45838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>Индустриален холдинг България АД</v>
      </c>
      <c r="B397" s="594" t="str">
        <f t="shared" si="28"/>
        <v>121631219</v>
      </c>
      <c r="C397" s="598">
        <f t="shared" si="29"/>
        <v>45838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>Индустриален холдинг България АД</v>
      </c>
      <c r="B398" s="594" t="str">
        <f t="shared" si="28"/>
        <v>121631219</v>
      </c>
      <c r="C398" s="598">
        <f t="shared" si="29"/>
        <v>45838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28426</v>
      </c>
    </row>
    <row r="399" spans="1:8">
      <c r="A399" s="594" t="str">
        <f t="shared" si="27"/>
        <v>Индустриален холдинг България АД</v>
      </c>
      <c r="B399" s="594" t="str">
        <f t="shared" si="28"/>
        <v>121631219</v>
      </c>
      <c r="C399" s="598">
        <f t="shared" si="29"/>
        <v>45838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>Индустриален холдинг България АД</v>
      </c>
      <c r="B400" s="594" t="str">
        <f t="shared" si="28"/>
        <v>121631219</v>
      </c>
      <c r="C400" s="598">
        <f t="shared" si="29"/>
        <v>45838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>Индустриален холдинг България АД</v>
      </c>
      <c r="B401" s="594" t="str">
        <f t="shared" si="28"/>
        <v>121631219</v>
      </c>
      <c r="C401" s="598">
        <f t="shared" si="29"/>
        <v>45838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>Индустриален холдинг България АД</v>
      </c>
      <c r="B402" s="594" t="str">
        <f t="shared" si="28"/>
        <v>121631219</v>
      </c>
      <c r="C402" s="598">
        <f t="shared" si="29"/>
        <v>45838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>Индустриален холдинг България АД</v>
      </c>
      <c r="B403" s="594" t="str">
        <f t="shared" si="28"/>
        <v>121631219</v>
      </c>
      <c r="C403" s="598">
        <f t="shared" si="29"/>
        <v>45838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>Индустриален холдинг България АД</v>
      </c>
      <c r="B404" s="594" t="str">
        <f t="shared" si="28"/>
        <v>121631219</v>
      </c>
      <c r="C404" s="598">
        <f t="shared" si="29"/>
        <v>45838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>Индустриален холдинг България АД</v>
      </c>
      <c r="B405" s="594" t="str">
        <f t="shared" si="28"/>
        <v>121631219</v>
      </c>
      <c r="C405" s="598">
        <f t="shared" si="29"/>
        <v>45838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>Индустриален холдинг България АД</v>
      </c>
      <c r="B406" s="594" t="str">
        <f t="shared" si="28"/>
        <v>121631219</v>
      </c>
      <c r="C406" s="598">
        <f t="shared" si="29"/>
        <v>45838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>Индустриален холдинг България АД</v>
      </c>
      <c r="B407" s="594" t="str">
        <f t="shared" si="28"/>
        <v>121631219</v>
      </c>
      <c r="C407" s="598">
        <f t="shared" si="29"/>
        <v>45838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>Индустриален холдинг България АД</v>
      </c>
      <c r="B408" s="594" t="str">
        <f t="shared" si="28"/>
        <v>121631219</v>
      </c>
      <c r="C408" s="598">
        <f t="shared" si="29"/>
        <v>45838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>Индустриален холдинг България АД</v>
      </c>
      <c r="B409" s="594" t="str">
        <f t="shared" si="28"/>
        <v>121631219</v>
      </c>
      <c r="C409" s="598">
        <f t="shared" si="29"/>
        <v>45838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>Индустриален холдинг България АД</v>
      </c>
      <c r="B410" s="594" t="str">
        <f t="shared" ref="B410:B459" si="31">pdeBulstat</f>
        <v>121631219</v>
      </c>
      <c r="C410" s="598">
        <f t="shared" ref="C410:C459" si="32">endDate</f>
        <v>45838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>Индустриален холдинг България АД</v>
      </c>
      <c r="B411" s="594" t="str">
        <f t="shared" si="31"/>
        <v>121631219</v>
      </c>
      <c r="C411" s="598">
        <f t="shared" si="32"/>
        <v>45838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>Индустриален холдинг България АД</v>
      </c>
      <c r="B412" s="594" t="str">
        <f t="shared" si="31"/>
        <v>121631219</v>
      </c>
      <c r="C412" s="598">
        <f t="shared" si="32"/>
        <v>45838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28426</v>
      </c>
    </row>
    <row r="413" spans="1:8">
      <c r="A413" s="594" t="str">
        <f t="shared" si="30"/>
        <v>Индустриален холдинг България АД</v>
      </c>
      <c r="B413" s="594" t="str">
        <f t="shared" si="31"/>
        <v>121631219</v>
      </c>
      <c r="C413" s="598">
        <f t="shared" si="32"/>
        <v>45838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-16423</v>
      </c>
    </row>
    <row r="414" spans="1:8">
      <c r="A414" s="594" t="str">
        <f t="shared" si="30"/>
        <v>Индустриален холдинг България АД</v>
      </c>
      <c r="B414" s="594" t="str">
        <f t="shared" si="31"/>
        <v>121631219</v>
      </c>
      <c r="C414" s="598">
        <f t="shared" si="32"/>
        <v>45838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>Индустриален холдинг България АД</v>
      </c>
      <c r="B415" s="594" t="str">
        <f t="shared" si="31"/>
        <v>121631219</v>
      </c>
      <c r="C415" s="598">
        <f t="shared" si="32"/>
        <v>45838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12003</v>
      </c>
    </row>
    <row r="416" spans="1:8">
      <c r="A416" s="594" t="str">
        <f t="shared" si="30"/>
        <v>Индустриален холдинг България АД</v>
      </c>
      <c r="B416" s="594" t="str">
        <f t="shared" si="31"/>
        <v>121631219</v>
      </c>
      <c r="C416" s="598">
        <f t="shared" si="32"/>
        <v>45838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407952</v>
      </c>
    </row>
    <row r="417" spans="1:8">
      <c r="A417" s="594" t="str">
        <f t="shared" si="30"/>
        <v>Индустриален холдинг България АД</v>
      </c>
      <c r="B417" s="594" t="str">
        <f t="shared" si="31"/>
        <v>121631219</v>
      </c>
      <c r="C417" s="598">
        <f t="shared" si="32"/>
        <v>45838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0</v>
      </c>
    </row>
    <row r="418" spans="1:8">
      <c r="A418" s="594" t="str">
        <f t="shared" si="30"/>
        <v>Индустриален холдинг България АД</v>
      </c>
      <c r="B418" s="594" t="str">
        <f t="shared" si="31"/>
        <v>121631219</v>
      </c>
      <c r="C418" s="598">
        <f t="shared" si="32"/>
        <v>45838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0</v>
      </c>
    </row>
    <row r="419" spans="1:8">
      <c r="A419" s="594" t="str">
        <f t="shared" si="30"/>
        <v>Индустриален холдинг България АД</v>
      </c>
      <c r="B419" s="594" t="str">
        <f t="shared" si="31"/>
        <v>121631219</v>
      </c>
      <c r="C419" s="598">
        <f t="shared" si="32"/>
        <v>45838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>Индустриален холдинг България АД</v>
      </c>
      <c r="B420" s="594" t="str">
        <f t="shared" si="31"/>
        <v>121631219</v>
      </c>
      <c r="C420" s="598">
        <f t="shared" si="32"/>
        <v>45838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407952</v>
      </c>
    </row>
    <row r="421" spans="1:8">
      <c r="A421" s="594" t="str">
        <f t="shared" si="30"/>
        <v>Индустриален холдинг България АД</v>
      </c>
      <c r="B421" s="594" t="str">
        <f t="shared" si="31"/>
        <v>121631219</v>
      </c>
      <c r="C421" s="598">
        <f t="shared" si="32"/>
        <v>45838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-1461</v>
      </c>
    </row>
    <row r="422" spans="1:8">
      <c r="A422" s="594" t="str">
        <f t="shared" si="30"/>
        <v>Индустриален холдинг България АД</v>
      </c>
      <c r="B422" s="594" t="str">
        <f t="shared" si="31"/>
        <v>121631219</v>
      </c>
      <c r="C422" s="598">
        <f t="shared" si="32"/>
        <v>45838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0</v>
      </c>
    </row>
    <row r="423" spans="1:8">
      <c r="A423" s="594" t="str">
        <f t="shared" si="30"/>
        <v>Индустриален холдинг България АД</v>
      </c>
      <c r="B423" s="594" t="str">
        <f t="shared" si="31"/>
        <v>121631219</v>
      </c>
      <c r="C423" s="598">
        <f t="shared" si="32"/>
        <v>45838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0</v>
      </c>
    </row>
    <row r="424" spans="1:8">
      <c r="A424" s="594" t="str">
        <f t="shared" si="30"/>
        <v>Индустриален холдинг България АД</v>
      </c>
      <c r="B424" s="594" t="str">
        <f t="shared" si="31"/>
        <v>121631219</v>
      </c>
      <c r="C424" s="598">
        <f t="shared" si="32"/>
        <v>45838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>Индустриален холдинг България АД</v>
      </c>
      <c r="B425" s="594" t="str">
        <f t="shared" si="31"/>
        <v>121631219</v>
      </c>
      <c r="C425" s="598">
        <f t="shared" si="32"/>
        <v>45838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>Индустриален холдинг България АД</v>
      </c>
      <c r="B426" s="594" t="str">
        <f t="shared" si="31"/>
        <v>121631219</v>
      </c>
      <c r="C426" s="598">
        <f t="shared" si="32"/>
        <v>45838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>Индустриален холдинг България АД</v>
      </c>
      <c r="B427" s="594" t="str">
        <f t="shared" si="31"/>
        <v>121631219</v>
      </c>
      <c r="C427" s="598">
        <f t="shared" si="32"/>
        <v>45838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>Индустриален холдинг България АД</v>
      </c>
      <c r="B428" s="594" t="str">
        <f t="shared" si="31"/>
        <v>121631219</v>
      </c>
      <c r="C428" s="598">
        <f t="shared" si="32"/>
        <v>45838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>Индустриален холдинг България АД</v>
      </c>
      <c r="B429" s="594" t="str">
        <f t="shared" si="31"/>
        <v>121631219</v>
      </c>
      <c r="C429" s="598">
        <f t="shared" si="32"/>
        <v>45838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108</v>
      </c>
    </row>
    <row r="430" spans="1:8">
      <c r="A430" s="594" t="str">
        <f t="shared" si="30"/>
        <v>Индустриален холдинг България АД</v>
      </c>
      <c r="B430" s="594" t="str">
        <f t="shared" si="31"/>
        <v>121631219</v>
      </c>
      <c r="C430" s="598">
        <f t="shared" si="32"/>
        <v>45838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108</v>
      </c>
    </row>
    <row r="431" spans="1:8">
      <c r="A431" s="594" t="str">
        <f t="shared" si="30"/>
        <v>Индустриален холдинг България АД</v>
      </c>
      <c r="B431" s="594" t="str">
        <f t="shared" si="31"/>
        <v>121631219</v>
      </c>
      <c r="C431" s="598">
        <f t="shared" si="32"/>
        <v>45838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>Индустриален холдинг България АД</v>
      </c>
      <c r="B432" s="594" t="str">
        <f t="shared" si="31"/>
        <v>121631219</v>
      </c>
      <c r="C432" s="598">
        <f t="shared" si="32"/>
        <v>45838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>Индустриален холдинг България АД</v>
      </c>
      <c r="B433" s="594" t="str">
        <f t="shared" si="31"/>
        <v>121631219</v>
      </c>
      <c r="C433" s="598">
        <f t="shared" si="32"/>
        <v>45838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500</v>
      </c>
    </row>
    <row r="434" spans="1:8">
      <c r="A434" s="594" t="str">
        <f t="shared" si="30"/>
        <v>Индустриален холдинг България АД</v>
      </c>
      <c r="B434" s="594" t="str">
        <f t="shared" si="31"/>
        <v>121631219</v>
      </c>
      <c r="C434" s="598">
        <f t="shared" si="32"/>
        <v>45838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407099</v>
      </c>
    </row>
    <row r="435" spans="1:8">
      <c r="A435" s="594" t="str">
        <f t="shared" si="30"/>
        <v>Индустриален холдинг България АД</v>
      </c>
      <c r="B435" s="594" t="str">
        <f t="shared" si="31"/>
        <v>121631219</v>
      </c>
      <c r="C435" s="598">
        <f t="shared" si="32"/>
        <v>45838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-16423</v>
      </c>
    </row>
    <row r="436" spans="1:8">
      <c r="A436" s="594" t="str">
        <f t="shared" si="30"/>
        <v>Индустриален холдинг България АД</v>
      </c>
      <c r="B436" s="594" t="str">
        <f t="shared" si="31"/>
        <v>121631219</v>
      </c>
      <c r="C436" s="598">
        <f t="shared" si="32"/>
        <v>45838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>Индустриален холдинг България АД</v>
      </c>
      <c r="B437" s="594" t="str">
        <f t="shared" si="31"/>
        <v>121631219</v>
      </c>
      <c r="C437" s="598">
        <f t="shared" si="32"/>
        <v>45838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390676</v>
      </c>
    </row>
    <row r="438" spans="1:8">
      <c r="A438" s="594" t="str">
        <f t="shared" si="30"/>
        <v>Индустриален холдинг България АД</v>
      </c>
      <c r="B438" s="594" t="str">
        <f t="shared" si="31"/>
        <v>121631219</v>
      </c>
      <c r="C438" s="598">
        <f t="shared" si="32"/>
        <v>45838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1053</v>
      </c>
    </row>
    <row r="439" spans="1:8">
      <c r="A439" s="594" t="str">
        <f t="shared" si="30"/>
        <v>Индустриален холдинг България АД</v>
      </c>
      <c r="B439" s="594" t="str">
        <f t="shared" si="31"/>
        <v>121631219</v>
      </c>
      <c r="C439" s="598">
        <f t="shared" si="32"/>
        <v>45838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>Индустриален холдинг България АД</v>
      </c>
      <c r="B440" s="594" t="str">
        <f t="shared" si="31"/>
        <v>121631219</v>
      </c>
      <c r="C440" s="598">
        <f t="shared" si="32"/>
        <v>45838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>Индустриален холдинг България АД</v>
      </c>
      <c r="B441" s="594" t="str">
        <f t="shared" si="31"/>
        <v>121631219</v>
      </c>
      <c r="C441" s="598">
        <f t="shared" si="32"/>
        <v>45838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>Индустриален холдинг България АД</v>
      </c>
      <c r="B442" s="594" t="str">
        <f t="shared" si="31"/>
        <v>121631219</v>
      </c>
      <c r="C442" s="598">
        <f t="shared" si="32"/>
        <v>45838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1053</v>
      </c>
    </row>
    <row r="443" spans="1:8">
      <c r="A443" s="594" t="str">
        <f t="shared" si="30"/>
        <v>Индустриален холдинг България АД</v>
      </c>
      <c r="B443" s="594" t="str">
        <f t="shared" si="31"/>
        <v>121631219</v>
      </c>
      <c r="C443" s="598">
        <f t="shared" si="32"/>
        <v>45838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64</v>
      </c>
    </row>
    <row r="444" spans="1:8">
      <c r="A444" s="594" t="str">
        <f t="shared" si="30"/>
        <v>Индустриален холдинг България АД</v>
      </c>
      <c r="B444" s="594" t="str">
        <f t="shared" si="31"/>
        <v>121631219</v>
      </c>
      <c r="C444" s="598">
        <f t="shared" si="32"/>
        <v>45838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-222</v>
      </c>
    </row>
    <row r="445" spans="1:8">
      <c r="A445" s="594" t="str">
        <f t="shared" si="30"/>
        <v>Индустриален холдинг България АД</v>
      </c>
      <c r="B445" s="594" t="str">
        <f t="shared" si="31"/>
        <v>121631219</v>
      </c>
      <c r="C445" s="598">
        <f t="shared" si="32"/>
        <v>45838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-222</v>
      </c>
    </row>
    <row r="446" spans="1:8">
      <c r="A446" s="594" t="str">
        <f t="shared" si="30"/>
        <v>Индустриален холдинг България АД</v>
      </c>
      <c r="B446" s="594" t="str">
        <f t="shared" si="31"/>
        <v>121631219</v>
      </c>
      <c r="C446" s="598">
        <f t="shared" si="32"/>
        <v>45838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>Индустриален холдинг България АД</v>
      </c>
      <c r="B447" s="594" t="str">
        <f t="shared" si="31"/>
        <v>121631219</v>
      </c>
      <c r="C447" s="598">
        <f t="shared" si="32"/>
        <v>45838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>Индустриален холдинг България АД</v>
      </c>
      <c r="B448" s="594" t="str">
        <f t="shared" si="31"/>
        <v>121631219</v>
      </c>
      <c r="C448" s="598">
        <f t="shared" si="32"/>
        <v>45838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>Индустриален холдинг България АД</v>
      </c>
      <c r="B449" s="594" t="str">
        <f t="shared" si="31"/>
        <v>121631219</v>
      </c>
      <c r="C449" s="598">
        <f t="shared" si="32"/>
        <v>45838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>Индустриален холдинг България АД</v>
      </c>
      <c r="B450" s="594" t="str">
        <f t="shared" si="31"/>
        <v>121631219</v>
      </c>
      <c r="C450" s="598">
        <f t="shared" si="32"/>
        <v>45838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>Индустриален холдинг България АД</v>
      </c>
      <c r="B451" s="594" t="str">
        <f t="shared" si="31"/>
        <v>121631219</v>
      </c>
      <c r="C451" s="598">
        <f t="shared" si="32"/>
        <v>45838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>Индустриален холдинг България АД</v>
      </c>
      <c r="B452" s="594" t="str">
        <f t="shared" si="31"/>
        <v>121631219</v>
      </c>
      <c r="C452" s="598">
        <f t="shared" si="32"/>
        <v>45838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>Индустриален холдинг България АД</v>
      </c>
      <c r="B453" s="594" t="str">
        <f t="shared" si="31"/>
        <v>121631219</v>
      </c>
      <c r="C453" s="598">
        <f t="shared" si="32"/>
        <v>45838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>Индустриален холдинг България АД</v>
      </c>
      <c r="B454" s="594" t="str">
        <f t="shared" si="31"/>
        <v>121631219</v>
      </c>
      <c r="C454" s="598">
        <f t="shared" si="32"/>
        <v>45838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>Индустриален холдинг България АД</v>
      </c>
      <c r="B455" s="594" t="str">
        <f t="shared" si="31"/>
        <v>121631219</v>
      </c>
      <c r="C455" s="598">
        <f t="shared" si="32"/>
        <v>45838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-500</v>
      </c>
    </row>
    <row r="456" spans="1:8">
      <c r="A456" s="594" t="str">
        <f t="shared" si="30"/>
        <v>Индустриален холдинг България АД</v>
      </c>
      <c r="B456" s="594" t="str">
        <f t="shared" si="31"/>
        <v>121631219</v>
      </c>
      <c r="C456" s="598">
        <f t="shared" si="32"/>
        <v>45838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395</v>
      </c>
    </row>
    <row r="457" spans="1:8">
      <c r="A457" s="594" t="str">
        <f t="shared" si="30"/>
        <v>Индустриален холдинг България АД</v>
      </c>
      <c r="B457" s="594" t="str">
        <f t="shared" si="31"/>
        <v>121631219</v>
      </c>
      <c r="C457" s="598">
        <f t="shared" si="32"/>
        <v>45838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>Индустриален холдинг България АД</v>
      </c>
      <c r="B458" s="594" t="str">
        <f t="shared" si="31"/>
        <v>121631219</v>
      </c>
      <c r="C458" s="598">
        <f t="shared" si="32"/>
        <v>45838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>Индустриален холдинг България АД</v>
      </c>
      <c r="B459" s="594" t="str">
        <f t="shared" si="31"/>
        <v>121631219</v>
      </c>
      <c r="C459" s="598">
        <f t="shared" si="32"/>
        <v>45838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395</v>
      </c>
    </row>
    <row r="460" spans="1:8" s="432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>Индустриален холдинг България АД</v>
      </c>
      <c r="B461" s="594" t="str">
        <f t="shared" ref="B461:B524" si="34">pdeBulstat</f>
        <v>121631219</v>
      </c>
      <c r="C461" s="598">
        <f t="shared" ref="C461:C524" si="35">endDate</f>
        <v>45838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110055</v>
      </c>
    </row>
    <row r="462" spans="1:8">
      <c r="A462" s="594" t="str">
        <f t="shared" si="33"/>
        <v>Индустриален холдинг България АД</v>
      </c>
      <c r="B462" s="594" t="str">
        <f t="shared" si="34"/>
        <v>121631219</v>
      </c>
      <c r="C462" s="598">
        <f t="shared" si="35"/>
        <v>45838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38635</v>
      </c>
    </row>
    <row r="463" spans="1:8">
      <c r="A463" s="594" t="str">
        <f t="shared" si="33"/>
        <v>Индустриален холдинг България АД</v>
      </c>
      <c r="B463" s="594" t="str">
        <f t="shared" si="34"/>
        <v>121631219</v>
      </c>
      <c r="C463" s="598">
        <f t="shared" si="35"/>
        <v>45838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50292</v>
      </c>
    </row>
    <row r="464" spans="1:8">
      <c r="A464" s="594" t="str">
        <f t="shared" si="33"/>
        <v>Индустриален холдинг България АД</v>
      </c>
      <c r="B464" s="594" t="str">
        <f t="shared" si="34"/>
        <v>121631219</v>
      </c>
      <c r="C464" s="598">
        <f t="shared" si="35"/>
        <v>45838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45764</v>
      </c>
    </row>
    <row r="465" spans="1:8">
      <c r="A465" s="594" t="str">
        <f t="shared" si="33"/>
        <v>Индустриален холдинг България АД</v>
      </c>
      <c r="B465" s="594" t="str">
        <f t="shared" si="34"/>
        <v>121631219</v>
      </c>
      <c r="C465" s="598">
        <f t="shared" si="35"/>
        <v>45838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126958</v>
      </c>
    </row>
    <row r="466" spans="1:8">
      <c r="A466" s="594" t="str">
        <f t="shared" si="33"/>
        <v>Индустриален холдинг България АД</v>
      </c>
      <c r="B466" s="594" t="str">
        <f t="shared" si="34"/>
        <v>121631219</v>
      </c>
      <c r="C466" s="598">
        <f t="shared" si="35"/>
        <v>45838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1833</v>
      </c>
    </row>
    <row r="467" spans="1:8">
      <c r="A467" s="594" t="str">
        <f t="shared" si="33"/>
        <v>Индустриален холдинг България АД</v>
      </c>
      <c r="B467" s="594" t="str">
        <f t="shared" si="34"/>
        <v>121631219</v>
      </c>
      <c r="C467" s="598">
        <f t="shared" si="35"/>
        <v>45838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70021</v>
      </c>
    </row>
    <row r="468" spans="1:8">
      <c r="A468" s="594" t="str">
        <f t="shared" si="33"/>
        <v>Индустриален холдинг България АД</v>
      </c>
      <c r="B468" s="594" t="str">
        <f t="shared" si="34"/>
        <v>121631219</v>
      </c>
      <c r="C468" s="598">
        <f t="shared" si="35"/>
        <v>45838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2616</v>
      </c>
    </row>
    <row r="469" spans="1:8">
      <c r="A469" s="594" t="str">
        <f t="shared" si="33"/>
        <v>Индустриален холдинг България АД</v>
      </c>
      <c r="B469" s="594" t="str">
        <f t="shared" si="34"/>
        <v>121631219</v>
      </c>
      <c r="C469" s="598">
        <f t="shared" si="35"/>
        <v>45838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446174</v>
      </c>
    </row>
    <row r="470" spans="1:8">
      <c r="A470" s="594" t="str">
        <f t="shared" si="33"/>
        <v>Индустриален холдинг България АД</v>
      </c>
      <c r="B470" s="594" t="str">
        <f t="shared" si="34"/>
        <v>121631219</v>
      </c>
      <c r="C470" s="598">
        <f t="shared" si="35"/>
        <v>45838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15363</v>
      </c>
    </row>
    <row r="471" spans="1:8">
      <c r="A471" s="594" t="str">
        <f t="shared" si="33"/>
        <v>Индустриален холдинг България АД</v>
      </c>
      <c r="B471" s="594" t="str">
        <f t="shared" si="34"/>
        <v>121631219</v>
      </c>
      <c r="C471" s="598">
        <f t="shared" si="35"/>
        <v>45838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0</v>
      </c>
    </row>
    <row r="472" spans="1:8">
      <c r="A472" s="594" t="str">
        <f t="shared" si="33"/>
        <v>Индустриален холдинг България АД</v>
      </c>
      <c r="B472" s="594" t="str">
        <f t="shared" si="34"/>
        <v>121631219</v>
      </c>
      <c r="C472" s="598">
        <f t="shared" si="35"/>
        <v>45838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5704</v>
      </c>
    </row>
    <row r="473" spans="1:8">
      <c r="A473" s="594" t="str">
        <f t="shared" si="33"/>
        <v>Индустриален холдинг България АД</v>
      </c>
      <c r="B473" s="594" t="str">
        <f t="shared" si="34"/>
        <v>121631219</v>
      </c>
      <c r="C473" s="598">
        <f t="shared" si="35"/>
        <v>45838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1836</v>
      </c>
    </row>
    <row r="474" spans="1:8">
      <c r="A474" s="594" t="str">
        <f t="shared" si="33"/>
        <v>Индустриален холдинг България АД</v>
      </c>
      <c r="B474" s="594" t="str">
        <f t="shared" si="34"/>
        <v>121631219</v>
      </c>
      <c r="C474" s="598">
        <f t="shared" si="35"/>
        <v>45838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23</v>
      </c>
    </row>
    <row r="475" spans="1:8">
      <c r="A475" s="594" t="str">
        <f t="shared" si="33"/>
        <v>Индустриален холдинг България АД</v>
      </c>
      <c r="B475" s="594" t="str">
        <f t="shared" si="34"/>
        <v>121631219</v>
      </c>
      <c r="C475" s="598">
        <f t="shared" si="35"/>
        <v>45838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1030</v>
      </c>
    </row>
    <row r="476" spans="1:8">
      <c r="A476" s="594" t="str">
        <f t="shared" si="33"/>
        <v>Индустриален холдинг България АД</v>
      </c>
      <c r="B476" s="594" t="str">
        <f t="shared" si="34"/>
        <v>121631219</v>
      </c>
      <c r="C476" s="598">
        <f t="shared" si="35"/>
        <v>45838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8593</v>
      </c>
    </row>
    <row r="477" spans="1:8">
      <c r="A477" s="594" t="str">
        <f t="shared" si="33"/>
        <v>Индустриален холдинг България АД</v>
      </c>
      <c r="B477" s="594" t="str">
        <f t="shared" si="34"/>
        <v>121631219</v>
      </c>
      <c r="C477" s="598">
        <f t="shared" si="35"/>
        <v>45838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23</v>
      </c>
    </row>
    <row r="478" spans="1:8">
      <c r="A478" s="594" t="str">
        <f t="shared" si="33"/>
        <v>Индустриален холдинг България АД</v>
      </c>
      <c r="B478" s="594" t="str">
        <f t="shared" si="34"/>
        <v>121631219</v>
      </c>
      <c r="C478" s="598">
        <f t="shared" si="35"/>
        <v>45838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>Индустриален холдинг България АД</v>
      </c>
      <c r="B479" s="594" t="str">
        <f t="shared" si="34"/>
        <v>121631219</v>
      </c>
      <c r="C479" s="598">
        <f t="shared" si="35"/>
        <v>45838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>Индустриален холдинг България АД</v>
      </c>
      <c r="B480" s="594" t="str">
        <f t="shared" si="34"/>
        <v>121631219</v>
      </c>
      <c r="C480" s="598">
        <f t="shared" si="35"/>
        <v>45838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23</v>
      </c>
    </row>
    <row r="481" spans="1:8">
      <c r="A481" s="594" t="str">
        <f t="shared" si="33"/>
        <v>Индустриален холдинг България АД</v>
      </c>
      <c r="B481" s="594" t="str">
        <f t="shared" si="34"/>
        <v>121631219</v>
      </c>
      <c r="C481" s="598">
        <f t="shared" si="35"/>
        <v>45838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0</v>
      </c>
    </row>
    <row r="482" spans="1:8">
      <c r="A482" s="594" t="str">
        <f t="shared" si="33"/>
        <v>Индустриален холдинг България АД</v>
      </c>
      <c r="B482" s="594" t="str">
        <f t="shared" si="34"/>
        <v>121631219</v>
      </c>
      <c r="C482" s="598">
        <f t="shared" si="35"/>
        <v>45838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>Индустриален холдинг България АД</v>
      </c>
      <c r="B483" s="594" t="str">
        <f t="shared" si="34"/>
        <v>121631219</v>
      </c>
      <c r="C483" s="598">
        <f t="shared" si="35"/>
        <v>45838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>Индустриален холдинг България АД</v>
      </c>
      <c r="B484" s="594" t="str">
        <f t="shared" si="34"/>
        <v>121631219</v>
      </c>
      <c r="C484" s="598">
        <f t="shared" si="35"/>
        <v>45838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>Индустриален холдинг България АД</v>
      </c>
      <c r="B485" s="594" t="str">
        <f t="shared" si="34"/>
        <v>121631219</v>
      </c>
      <c r="C485" s="598">
        <f t="shared" si="35"/>
        <v>45838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>Индустриален холдинг България АД</v>
      </c>
      <c r="B486" s="594" t="str">
        <f t="shared" si="34"/>
        <v>121631219</v>
      </c>
      <c r="C486" s="598">
        <f t="shared" si="35"/>
        <v>45838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>Индустриален холдинг България АД</v>
      </c>
      <c r="B487" s="594" t="str">
        <f t="shared" si="34"/>
        <v>121631219</v>
      </c>
      <c r="C487" s="598">
        <f t="shared" si="35"/>
        <v>45838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0</v>
      </c>
    </row>
    <row r="488" spans="1:8">
      <c r="A488" s="594" t="str">
        <f t="shared" si="33"/>
        <v>Индустриален холдинг България АД</v>
      </c>
      <c r="B488" s="594" t="str">
        <f t="shared" si="34"/>
        <v>121631219</v>
      </c>
      <c r="C488" s="598">
        <f t="shared" si="35"/>
        <v>45838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23</v>
      </c>
    </row>
    <row r="489" spans="1:8">
      <c r="A489" s="594" t="str">
        <f t="shared" si="33"/>
        <v>Индустриален холдинг България АД</v>
      </c>
      <c r="B489" s="594" t="str">
        <f t="shared" si="34"/>
        <v>121631219</v>
      </c>
      <c r="C489" s="598">
        <f t="shared" si="35"/>
        <v>45838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4329</v>
      </c>
    </row>
    <row r="490" spans="1:8">
      <c r="A490" s="594" t="str">
        <f t="shared" si="33"/>
        <v>Индустриален холдинг България АД</v>
      </c>
      <c r="B490" s="594" t="str">
        <f t="shared" si="34"/>
        <v>121631219</v>
      </c>
      <c r="C490" s="598">
        <f t="shared" si="35"/>
        <v>45838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474482</v>
      </c>
    </row>
    <row r="491" spans="1:8">
      <c r="A491" s="594" t="str">
        <f t="shared" si="33"/>
        <v>Индустриален холдинг България АД</v>
      </c>
      <c r="B491" s="594" t="str">
        <f t="shared" si="34"/>
        <v>121631219</v>
      </c>
      <c r="C491" s="598">
        <f t="shared" si="35"/>
        <v>45838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278</v>
      </c>
    </row>
    <row r="492" spans="1:8">
      <c r="A492" s="594" t="str">
        <f t="shared" si="33"/>
        <v>Индустриален холдинг България АД</v>
      </c>
      <c r="B492" s="594" t="str">
        <f t="shared" si="34"/>
        <v>121631219</v>
      </c>
      <c r="C492" s="598">
        <f t="shared" si="35"/>
        <v>45838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18</v>
      </c>
    </row>
    <row r="493" spans="1:8">
      <c r="A493" s="594" t="str">
        <f t="shared" si="33"/>
        <v>Индустриален холдинг България АД</v>
      </c>
      <c r="B493" s="594" t="str">
        <f t="shared" si="34"/>
        <v>121631219</v>
      </c>
      <c r="C493" s="598">
        <f t="shared" si="35"/>
        <v>45838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945</v>
      </c>
    </row>
    <row r="494" spans="1:8">
      <c r="A494" s="594" t="str">
        <f t="shared" si="33"/>
        <v>Индустриален холдинг България АД</v>
      </c>
      <c r="B494" s="594" t="str">
        <f t="shared" si="34"/>
        <v>121631219</v>
      </c>
      <c r="C494" s="598">
        <f t="shared" si="35"/>
        <v>45838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550</v>
      </c>
    </row>
    <row r="495" spans="1:8">
      <c r="A495" s="594" t="str">
        <f t="shared" si="33"/>
        <v>Индустриален холдинг България АД</v>
      </c>
      <c r="B495" s="594" t="str">
        <f t="shared" si="34"/>
        <v>121631219</v>
      </c>
      <c r="C495" s="598">
        <f t="shared" si="35"/>
        <v>45838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3352</v>
      </c>
    </row>
    <row r="496" spans="1:8">
      <c r="A496" s="594" t="str">
        <f t="shared" si="33"/>
        <v>Индустриален холдинг България АД</v>
      </c>
      <c r="B496" s="594" t="str">
        <f t="shared" si="34"/>
        <v>121631219</v>
      </c>
      <c r="C496" s="598">
        <f t="shared" si="35"/>
        <v>45838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12</v>
      </c>
    </row>
    <row r="497" spans="1:8">
      <c r="A497" s="594" t="str">
        <f t="shared" si="33"/>
        <v>Индустриален холдинг България АД</v>
      </c>
      <c r="B497" s="594" t="str">
        <f t="shared" si="34"/>
        <v>121631219</v>
      </c>
      <c r="C497" s="598">
        <f t="shared" si="35"/>
        <v>45838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9251</v>
      </c>
    </row>
    <row r="498" spans="1:8">
      <c r="A498" s="594" t="str">
        <f t="shared" si="33"/>
        <v>Индустриален холдинг България АД</v>
      </c>
      <c r="B498" s="594" t="str">
        <f t="shared" si="34"/>
        <v>121631219</v>
      </c>
      <c r="C498" s="598">
        <f t="shared" si="35"/>
        <v>45838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127</v>
      </c>
    </row>
    <row r="499" spans="1:8">
      <c r="A499" s="594" t="str">
        <f t="shared" si="33"/>
        <v>Индустриален холдинг България АД</v>
      </c>
      <c r="B499" s="594" t="str">
        <f t="shared" si="34"/>
        <v>121631219</v>
      </c>
      <c r="C499" s="598">
        <f t="shared" si="35"/>
        <v>45838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14533</v>
      </c>
    </row>
    <row r="500" spans="1:8">
      <c r="A500" s="594" t="str">
        <f t="shared" si="33"/>
        <v>Индустриален холдинг България АД</v>
      </c>
      <c r="B500" s="594" t="str">
        <f t="shared" si="34"/>
        <v>121631219</v>
      </c>
      <c r="C500" s="598">
        <f t="shared" si="35"/>
        <v>45838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597</v>
      </c>
    </row>
    <row r="501" spans="1:8">
      <c r="A501" s="594" t="str">
        <f t="shared" si="33"/>
        <v>Индустриален холдинг България АД</v>
      </c>
      <c r="B501" s="594" t="str">
        <f t="shared" si="34"/>
        <v>121631219</v>
      </c>
      <c r="C501" s="598">
        <f t="shared" si="35"/>
        <v>45838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0</v>
      </c>
    </row>
    <row r="502" spans="1:8">
      <c r="A502" s="594" t="str">
        <f t="shared" si="33"/>
        <v>Индустриален холдинг България АД</v>
      </c>
      <c r="B502" s="594" t="str">
        <f t="shared" si="34"/>
        <v>121631219</v>
      </c>
      <c r="C502" s="598">
        <f t="shared" si="35"/>
        <v>45838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>Индустриален холдинг България АД</v>
      </c>
      <c r="B503" s="594" t="str">
        <f t="shared" si="34"/>
        <v>121631219</v>
      </c>
      <c r="C503" s="598">
        <f t="shared" si="35"/>
        <v>45838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1</v>
      </c>
    </row>
    <row r="504" spans="1:8">
      <c r="A504" s="594" t="str">
        <f t="shared" si="33"/>
        <v>Индустриален холдинг България АД</v>
      </c>
      <c r="B504" s="594" t="str">
        <f t="shared" si="34"/>
        <v>121631219</v>
      </c>
      <c r="C504" s="598">
        <f t="shared" si="35"/>
        <v>45838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>Индустриален холдинг България АД</v>
      </c>
      <c r="B505" s="594" t="str">
        <f t="shared" si="34"/>
        <v>121631219</v>
      </c>
      <c r="C505" s="598">
        <f t="shared" si="35"/>
        <v>45838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3</v>
      </c>
    </row>
    <row r="506" spans="1:8">
      <c r="A506" s="594" t="str">
        <f t="shared" si="33"/>
        <v>Индустриален холдинг България АД</v>
      </c>
      <c r="B506" s="594" t="str">
        <f t="shared" si="34"/>
        <v>121631219</v>
      </c>
      <c r="C506" s="598">
        <f t="shared" si="35"/>
        <v>45838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4</v>
      </c>
    </row>
    <row r="507" spans="1:8">
      <c r="A507" s="594" t="str">
        <f t="shared" si="33"/>
        <v>Индустриален холдинг България АД</v>
      </c>
      <c r="B507" s="594" t="str">
        <f t="shared" si="34"/>
        <v>121631219</v>
      </c>
      <c r="C507" s="598">
        <f t="shared" si="35"/>
        <v>45838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0</v>
      </c>
    </row>
    <row r="508" spans="1:8">
      <c r="A508" s="594" t="str">
        <f t="shared" si="33"/>
        <v>Индустриален холдинг България АД</v>
      </c>
      <c r="B508" s="594" t="str">
        <f t="shared" si="34"/>
        <v>121631219</v>
      </c>
      <c r="C508" s="598">
        <f t="shared" si="35"/>
        <v>45838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>Индустриален холдинг България АД</v>
      </c>
      <c r="B509" s="594" t="str">
        <f t="shared" si="34"/>
        <v>121631219</v>
      </c>
      <c r="C509" s="598">
        <f t="shared" si="35"/>
        <v>45838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>Индустриален холдинг България АД</v>
      </c>
      <c r="B510" s="594" t="str">
        <f t="shared" si="34"/>
        <v>121631219</v>
      </c>
      <c r="C510" s="598">
        <f t="shared" si="35"/>
        <v>45838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0</v>
      </c>
    </row>
    <row r="511" spans="1:8">
      <c r="A511" s="594" t="str">
        <f t="shared" si="33"/>
        <v>Индустриален холдинг България АД</v>
      </c>
      <c r="B511" s="594" t="str">
        <f t="shared" si="34"/>
        <v>121631219</v>
      </c>
      <c r="C511" s="598">
        <f t="shared" si="35"/>
        <v>45838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>Индустриален холдинг България АД</v>
      </c>
      <c r="B512" s="594" t="str">
        <f t="shared" si="34"/>
        <v>121631219</v>
      </c>
      <c r="C512" s="598">
        <f t="shared" si="35"/>
        <v>45838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>Индустриален холдинг България АД</v>
      </c>
      <c r="B513" s="594" t="str">
        <f t="shared" si="34"/>
        <v>121631219</v>
      </c>
      <c r="C513" s="598">
        <f t="shared" si="35"/>
        <v>45838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>Индустриален холдинг България АД</v>
      </c>
      <c r="B514" s="594" t="str">
        <f t="shared" si="34"/>
        <v>121631219</v>
      </c>
      <c r="C514" s="598">
        <f t="shared" si="35"/>
        <v>45838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>Индустриален холдинг България АД</v>
      </c>
      <c r="B515" s="594" t="str">
        <f t="shared" si="34"/>
        <v>121631219</v>
      </c>
      <c r="C515" s="598">
        <f t="shared" si="35"/>
        <v>45838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>Индустриален холдинг България АД</v>
      </c>
      <c r="B516" s="594" t="str">
        <f t="shared" si="34"/>
        <v>121631219</v>
      </c>
      <c r="C516" s="598">
        <f t="shared" si="35"/>
        <v>45838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>Индустриален холдинг България АД</v>
      </c>
      <c r="B517" s="594" t="str">
        <f t="shared" si="34"/>
        <v>121631219</v>
      </c>
      <c r="C517" s="598">
        <f t="shared" si="35"/>
        <v>45838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4024</v>
      </c>
    </row>
    <row r="518" spans="1:8">
      <c r="A518" s="594" t="str">
        <f t="shared" si="33"/>
        <v>Индустриален холдинг България АД</v>
      </c>
      <c r="B518" s="594" t="str">
        <f t="shared" si="34"/>
        <v>121631219</v>
      </c>
      <c r="C518" s="598">
        <f t="shared" si="35"/>
        <v>45838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4024</v>
      </c>
    </row>
    <row r="519" spans="1:8">
      <c r="A519" s="594" t="str">
        <f t="shared" si="33"/>
        <v>Индустриален холдинг България АД</v>
      </c>
      <c r="B519" s="594" t="str">
        <f t="shared" si="34"/>
        <v>121631219</v>
      </c>
      <c r="C519" s="598">
        <f t="shared" si="35"/>
        <v>45838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>Индустриален холдинг България АД</v>
      </c>
      <c r="B520" s="594" t="str">
        <f t="shared" si="34"/>
        <v>121631219</v>
      </c>
      <c r="C520" s="598">
        <f t="shared" si="35"/>
        <v>45838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19158</v>
      </c>
    </row>
    <row r="521" spans="1:8">
      <c r="A521" s="594" t="str">
        <f t="shared" si="33"/>
        <v>Индустриален холдинг България АД</v>
      </c>
      <c r="B521" s="594" t="str">
        <f t="shared" si="34"/>
        <v>121631219</v>
      </c>
      <c r="C521" s="598">
        <f t="shared" si="35"/>
        <v>45838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0</v>
      </c>
    </row>
    <row r="522" spans="1:8">
      <c r="A522" s="594" t="str">
        <f t="shared" si="33"/>
        <v>Индустриален холдинг България АД</v>
      </c>
      <c r="B522" s="594" t="str">
        <f t="shared" si="34"/>
        <v>121631219</v>
      </c>
      <c r="C522" s="598">
        <f t="shared" si="35"/>
        <v>45838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0</v>
      </c>
    </row>
    <row r="523" spans="1:8">
      <c r="A523" s="594" t="str">
        <f t="shared" si="33"/>
        <v>Индустриален холдинг България АД</v>
      </c>
      <c r="B523" s="594" t="str">
        <f t="shared" si="34"/>
        <v>121631219</v>
      </c>
      <c r="C523" s="598">
        <f t="shared" si="35"/>
        <v>45838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55</v>
      </c>
    </row>
    <row r="524" spans="1:8">
      <c r="A524" s="594" t="str">
        <f t="shared" si="33"/>
        <v>Индустриален холдинг България АД</v>
      </c>
      <c r="B524" s="594" t="str">
        <f t="shared" si="34"/>
        <v>121631219</v>
      </c>
      <c r="C524" s="598">
        <f t="shared" si="35"/>
        <v>45838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692</v>
      </c>
    </row>
    <row r="525" spans="1:8">
      <c r="A525" s="594" t="str">
        <f t="shared" ref="A525:A588" si="36">pdeName</f>
        <v>Индустриален холдинг България АД</v>
      </c>
      <c r="B525" s="594" t="str">
        <f t="shared" ref="B525:B588" si="37">pdeBulstat</f>
        <v>121631219</v>
      </c>
      <c r="C525" s="598">
        <f t="shared" ref="C525:C588" si="38">endDate</f>
        <v>45838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843</v>
      </c>
    </row>
    <row r="526" spans="1:8">
      <c r="A526" s="594" t="str">
        <f t="shared" si="36"/>
        <v>Индустриален холдинг България АД</v>
      </c>
      <c r="B526" s="594" t="str">
        <f t="shared" si="37"/>
        <v>121631219</v>
      </c>
      <c r="C526" s="598">
        <f t="shared" si="38"/>
        <v>45838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0</v>
      </c>
    </row>
    <row r="527" spans="1:8">
      <c r="A527" s="594" t="str">
        <f t="shared" si="36"/>
        <v>Индустриален холдинг България АД</v>
      </c>
      <c r="B527" s="594" t="str">
        <f t="shared" si="37"/>
        <v>121631219</v>
      </c>
      <c r="C527" s="598">
        <f t="shared" si="38"/>
        <v>45838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4657</v>
      </c>
    </row>
    <row r="528" spans="1:8">
      <c r="A528" s="594" t="str">
        <f t="shared" si="36"/>
        <v>Индустриален холдинг България АД</v>
      </c>
      <c r="B528" s="594" t="str">
        <f t="shared" si="37"/>
        <v>121631219</v>
      </c>
      <c r="C528" s="598">
        <f t="shared" si="38"/>
        <v>45838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0</v>
      </c>
    </row>
    <row r="529" spans="1:8">
      <c r="A529" s="594" t="str">
        <f t="shared" si="36"/>
        <v>Индустриален холдинг България АД</v>
      </c>
      <c r="B529" s="594" t="str">
        <f t="shared" si="37"/>
        <v>121631219</v>
      </c>
      <c r="C529" s="598">
        <f t="shared" si="38"/>
        <v>45838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6247</v>
      </c>
    </row>
    <row r="530" spans="1:8">
      <c r="A530" s="594" t="str">
        <f t="shared" si="36"/>
        <v>Индустриален холдинг България АД</v>
      </c>
      <c r="B530" s="594" t="str">
        <f t="shared" si="37"/>
        <v>121631219</v>
      </c>
      <c r="C530" s="598">
        <f t="shared" si="38"/>
        <v>45838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0</v>
      </c>
    </row>
    <row r="531" spans="1:8">
      <c r="A531" s="594" t="str">
        <f t="shared" si="36"/>
        <v>Индустриален холдинг България АД</v>
      </c>
      <c r="B531" s="594" t="str">
        <f t="shared" si="37"/>
        <v>121631219</v>
      </c>
      <c r="C531" s="598">
        <f t="shared" si="38"/>
        <v>45838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0</v>
      </c>
    </row>
    <row r="532" spans="1:8">
      <c r="A532" s="594" t="str">
        <f t="shared" si="36"/>
        <v>Индустриален холдинг България АД</v>
      </c>
      <c r="B532" s="594" t="str">
        <f t="shared" si="37"/>
        <v>121631219</v>
      </c>
      <c r="C532" s="598">
        <f t="shared" si="38"/>
        <v>45838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0</v>
      </c>
    </row>
    <row r="533" spans="1:8">
      <c r="A533" s="594" t="str">
        <f t="shared" si="36"/>
        <v>Индустриален холдинг България АД</v>
      </c>
      <c r="B533" s="594" t="str">
        <f t="shared" si="37"/>
        <v>121631219</v>
      </c>
      <c r="C533" s="598">
        <f t="shared" si="38"/>
        <v>45838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0</v>
      </c>
    </row>
    <row r="534" spans="1:8">
      <c r="A534" s="594" t="str">
        <f t="shared" si="36"/>
        <v>Индустриален холдинг България АД</v>
      </c>
      <c r="B534" s="594" t="str">
        <f t="shared" si="37"/>
        <v>121631219</v>
      </c>
      <c r="C534" s="598">
        <f t="shared" si="38"/>
        <v>45838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>Индустриален холдинг България АД</v>
      </c>
      <c r="B535" s="594" t="str">
        <f t="shared" si="37"/>
        <v>121631219</v>
      </c>
      <c r="C535" s="598">
        <f t="shared" si="38"/>
        <v>45838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0</v>
      </c>
    </row>
    <row r="536" spans="1:8">
      <c r="A536" s="594" t="str">
        <f t="shared" si="36"/>
        <v>Индустриален холдинг България АД</v>
      </c>
      <c r="B536" s="594" t="str">
        <f t="shared" si="37"/>
        <v>121631219</v>
      </c>
      <c r="C536" s="598">
        <f t="shared" si="38"/>
        <v>45838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0</v>
      </c>
    </row>
    <row r="537" spans="1:8">
      <c r="A537" s="594" t="str">
        <f t="shared" si="36"/>
        <v>Индустриален холдинг България АД</v>
      </c>
      <c r="B537" s="594" t="str">
        <f t="shared" si="37"/>
        <v>121631219</v>
      </c>
      <c r="C537" s="598">
        <f t="shared" si="38"/>
        <v>45838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>Индустриален холдинг България АД</v>
      </c>
      <c r="B538" s="594" t="str">
        <f t="shared" si="37"/>
        <v>121631219</v>
      </c>
      <c r="C538" s="598">
        <f t="shared" si="38"/>
        <v>45838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>Индустриален холдинг България АД</v>
      </c>
      <c r="B539" s="594" t="str">
        <f t="shared" si="37"/>
        <v>121631219</v>
      </c>
      <c r="C539" s="598">
        <f t="shared" si="38"/>
        <v>45838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>Индустриален холдинг България АД</v>
      </c>
      <c r="B540" s="594" t="str">
        <f t="shared" si="37"/>
        <v>121631219</v>
      </c>
      <c r="C540" s="598">
        <f t="shared" si="38"/>
        <v>45838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>Индустриален холдинг България АД</v>
      </c>
      <c r="B541" s="594" t="str">
        <f t="shared" si="37"/>
        <v>121631219</v>
      </c>
      <c r="C541" s="598">
        <f t="shared" si="38"/>
        <v>45838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>Индустриален холдинг България АД</v>
      </c>
      <c r="B542" s="594" t="str">
        <f t="shared" si="37"/>
        <v>121631219</v>
      </c>
      <c r="C542" s="598">
        <f t="shared" si="38"/>
        <v>45838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>Индустриален холдинг България АД</v>
      </c>
      <c r="B543" s="594" t="str">
        <f t="shared" si="37"/>
        <v>121631219</v>
      </c>
      <c r="C543" s="598">
        <f t="shared" si="38"/>
        <v>45838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>Индустриален холдинг България АД</v>
      </c>
      <c r="B544" s="594" t="str">
        <f t="shared" si="37"/>
        <v>121631219</v>
      </c>
      <c r="C544" s="598">
        <f t="shared" si="38"/>
        <v>45838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>Индустриален холдинг България АД</v>
      </c>
      <c r="B545" s="594" t="str">
        <f t="shared" si="37"/>
        <v>121631219</v>
      </c>
      <c r="C545" s="598">
        <f t="shared" si="38"/>
        <v>45838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>Индустриален холдинг България АД</v>
      </c>
      <c r="B546" s="594" t="str">
        <f t="shared" si="37"/>
        <v>121631219</v>
      </c>
      <c r="C546" s="598">
        <f t="shared" si="38"/>
        <v>45838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>Индустриален холдинг България АД</v>
      </c>
      <c r="B547" s="594" t="str">
        <f t="shared" si="37"/>
        <v>121631219</v>
      </c>
      <c r="C547" s="598">
        <f t="shared" si="38"/>
        <v>45838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>Индустриален холдинг България АД</v>
      </c>
      <c r="B548" s="594" t="str">
        <f t="shared" si="37"/>
        <v>121631219</v>
      </c>
      <c r="C548" s="598">
        <f t="shared" si="38"/>
        <v>45838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>Индустриален холдинг България АД</v>
      </c>
      <c r="B549" s="594" t="str">
        <f t="shared" si="37"/>
        <v>121631219</v>
      </c>
      <c r="C549" s="598">
        <f t="shared" si="38"/>
        <v>45838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>Индустриален холдинг България АД</v>
      </c>
      <c r="B550" s="594" t="str">
        <f t="shared" si="37"/>
        <v>121631219</v>
      </c>
      <c r="C550" s="598">
        <f t="shared" si="38"/>
        <v>45838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6247</v>
      </c>
    </row>
    <row r="551" spans="1:8">
      <c r="A551" s="594" t="str">
        <f t="shared" si="36"/>
        <v>Индустриален холдинг България АД</v>
      </c>
      <c r="B551" s="594" t="str">
        <f t="shared" si="37"/>
        <v>121631219</v>
      </c>
      <c r="C551" s="598">
        <f t="shared" si="38"/>
        <v>45838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110333</v>
      </c>
    </row>
    <row r="552" spans="1:8">
      <c r="A552" s="594" t="str">
        <f t="shared" si="36"/>
        <v>Индустриален холдинг България АД</v>
      </c>
      <c r="B552" s="594" t="str">
        <f t="shared" si="37"/>
        <v>121631219</v>
      </c>
      <c r="C552" s="598">
        <f t="shared" si="38"/>
        <v>45838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38653</v>
      </c>
    </row>
    <row r="553" spans="1:8">
      <c r="A553" s="594" t="str">
        <f t="shared" si="36"/>
        <v>Индустриален холдинг България АД</v>
      </c>
      <c r="B553" s="594" t="str">
        <f t="shared" si="37"/>
        <v>121631219</v>
      </c>
      <c r="C553" s="598">
        <f t="shared" si="38"/>
        <v>45838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51182</v>
      </c>
    </row>
    <row r="554" spans="1:8">
      <c r="A554" s="594" t="str">
        <f t="shared" si="36"/>
        <v>Индустриален холдинг България АД</v>
      </c>
      <c r="B554" s="594" t="str">
        <f t="shared" si="37"/>
        <v>121631219</v>
      </c>
      <c r="C554" s="598">
        <f t="shared" si="38"/>
        <v>45838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45622</v>
      </c>
    </row>
    <row r="555" spans="1:8">
      <c r="A555" s="594" t="str">
        <f t="shared" si="36"/>
        <v>Индустриален холдинг България АД</v>
      </c>
      <c r="B555" s="594" t="str">
        <f t="shared" si="37"/>
        <v>121631219</v>
      </c>
      <c r="C555" s="598">
        <f t="shared" si="38"/>
        <v>45838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129467</v>
      </c>
    </row>
    <row r="556" spans="1:8">
      <c r="A556" s="594" t="str">
        <f t="shared" si="36"/>
        <v>Индустриален холдинг България АД</v>
      </c>
      <c r="B556" s="594" t="str">
        <f t="shared" si="37"/>
        <v>121631219</v>
      </c>
      <c r="C556" s="598">
        <f t="shared" si="38"/>
        <v>45838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1845</v>
      </c>
    </row>
    <row r="557" spans="1:8">
      <c r="A557" s="594" t="str">
        <f t="shared" si="36"/>
        <v>Индустриален холдинг България АД</v>
      </c>
      <c r="B557" s="594" t="str">
        <f t="shared" si="37"/>
        <v>121631219</v>
      </c>
      <c r="C557" s="598">
        <f t="shared" si="38"/>
        <v>45838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74615</v>
      </c>
    </row>
    <row r="558" spans="1:8">
      <c r="A558" s="594" t="str">
        <f t="shared" si="36"/>
        <v>Индустриален холдинг България АД</v>
      </c>
      <c r="B558" s="594" t="str">
        <f t="shared" si="37"/>
        <v>121631219</v>
      </c>
      <c r="C558" s="598">
        <f t="shared" si="38"/>
        <v>45838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2743</v>
      </c>
    </row>
    <row r="559" spans="1:8">
      <c r="A559" s="594" t="str">
        <f t="shared" si="36"/>
        <v>Индустриален холдинг България АД</v>
      </c>
      <c r="B559" s="594" t="str">
        <f t="shared" si="37"/>
        <v>121631219</v>
      </c>
      <c r="C559" s="598">
        <f t="shared" si="38"/>
        <v>45838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454460</v>
      </c>
    </row>
    <row r="560" spans="1:8">
      <c r="A560" s="594" t="str">
        <f t="shared" si="36"/>
        <v>Индустриален холдинг България АД</v>
      </c>
      <c r="B560" s="594" t="str">
        <f t="shared" si="37"/>
        <v>121631219</v>
      </c>
      <c r="C560" s="598">
        <f t="shared" si="38"/>
        <v>45838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15960</v>
      </c>
    </row>
    <row r="561" spans="1:8">
      <c r="A561" s="594" t="str">
        <f t="shared" si="36"/>
        <v>Индустриален холдинг България АД</v>
      </c>
      <c r="B561" s="594" t="str">
        <f t="shared" si="37"/>
        <v>121631219</v>
      </c>
      <c r="C561" s="598">
        <f t="shared" si="38"/>
        <v>45838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0</v>
      </c>
    </row>
    <row r="562" spans="1:8">
      <c r="A562" s="594" t="str">
        <f t="shared" si="36"/>
        <v>Индустриален холдинг България АД</v>
      </c>
      <c r="B562" s="594" t="str">
        <f t="shared" si="37"/>
        <v>121631219</v>
      </c>
      <c r="C562" s="598">
        <f t="shared" si="38"/>
        <v>45838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5704</v>
      </c>
    </row>
    <row r="563" spans="1:8">
      <c r="A563" s="594" t="str">
        <f t="shared" si="36"/>
        <v>Индустриален холдинг България АД</v>
      </c>
      <c r="B563" s="594" t="str">
        <f t="shared" si="37"/>
        <v>121631219</v>
      </c>
      <c r="C563" s="598">
        <f t="shared" si="38"/>
        <v>45838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1837</v>
      </c>
    </row>
    <row r="564" spans="1:8">
      <c r="A564" s="594" t="str">
        <f t="shared" si="36"/>
        <v>Индустриален холдинг България АД</v>
      </c>
      <c r="B564" s="594" t="str">
        <f t="shared" si="37"/>
        <v>121631219</v>
      </c>
      <c r="C564" s="598">
        <f t="shared" si="38"/>
        <v>45838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23</v>
      </c>
    </row>
    <row r="565" spans="1:8">
      <c r="A565" s="594" t="str">
        <f t="shared" si="36"/>
        <v>Индустриален холдинг България АД</v>
      </c>
      <c r="B565" s="594" t="str">
        <f t="shared" si="37"/>
        <v>121631219</v>
      </c>
      <c r="C565" s="598">
        <f t="shared" si="38"/>
        <v>45838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1033</v>
      </c>
    </row>
    <row r="566" spans="1:8">
      <c r="A566" s="594" t="str">
        <f t="shared" si="36"/>
        <v>Индустриален холдинг България АД</v>
      </c>
      <c r="B566" s="594" t="str">
        <f t="shared" si="37"/>
        <v>121631219</v>
      </c>
      <c r="C566" s="598">
        <f t="shared" si="38"/>
        <v>45838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8597</v>
      </c>
    </row>
    <row r="567" spans="1:8">
      <c r="A567" s="594" t="str">
        <f t="shared" si="36"/>
        <v>Индустриален холдинг България АД</v>
      </c>
      <c r="B567" s="594" t="str">
        <f t="shared" si="37"/>
        <v>121631219</v>
      </c>
      <c r="C567" s="598">
        <f t="shared" si="38"/>
        <v>45838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23</v>
      </c>
    </row>
    <row r="568" spans="1:8">
      <c r="A568" s="594" t="str">
        <f t="shared" si="36"/>
        <v>Индустриален холдинг България АД</v>
      </c>
      <c r="B568" s="594" t="str">
        <f t="shared" si="37"/>
        <v>121631219</v>
      </c>
      <c r="C568" s="598">
        <f t="shared" si="38"/>
        <v>45838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>Индустриален холдинг България АД</v>
      </c>
      <c r="B569" s="594" t="str">
        <f t="shared" si="37"/>
        <v>121631219</v>
      </c>
      <c r="C569" s="598">
        <f t="shared" si="38"/>
        <v>45838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>Индустриален холдинг България АД</v>
      </c>
      <c r="B570" s="594" t="str">
        <f t="shared" si="37"/>
        <v>121631219</v>
      </c>
      <c r="C570" s="598">
        <f t="shared" si="38"/>
        <v>45838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23</v>
      </c>
    </row>
    <row r="571" spans="1:8">
      <c r="A571" s="594" t="str">
        <f t="shared" si="36"/>
        <v>Индустриален холдинг България АД</v>
      </c>
      <c r="B571" s="594" t="str">
        <f t="shared" si="37"/>
        <v>121631219</v>
      </c>
      <c r="C571" s="598">
        <f t="shared" si="38"/>
        <v>45838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0</v>
      </c>
    </row>
    <row r="572" spans="1:8">
      <c r="A572" s="594" t="str">
        <f t="shared" si="36"/>
        <v>Индустриален холдинг България АД</v>
      </c>
      <c r="B572" s="594" t="str">
        <f t="shared" si="37"/>
        <v>121631219</v>
      </c>
      <c r="C572" s="598">
        <f t="shared" si="38"/>
        <v>45838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>Индустриален холдинг България АД</v>
      </c>
      <c r="B573" s="594" t="str">
        <f t="shared" si="37"/>
        <v>121631219</v>
      </c>
      <c r="C573" s="598">
        <f t="shared" si="38"/>
        <v>45838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>Индустриален холдинг България АД</v>
      </c>
      <c r="B574" s="594" t="str">
        <f t="shared" si="37"/>
        <v>121631219</v>
      </c>
      <c r="C574" s="598">
        <f t="shared" si="38"/>
        <v>45838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>Индустриален холдинг България АД</v>
      </c>
      <c r="B575" s="594" t="str">
        <f t="shared" si="37"/>
        <v>121631219</v>
      </c>
      <c r="C575" s="598">
        <f t="shared" si="38"/>
        <v>45838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>Индустриален холдинг България АД</v>
      </c>
      <c r="B576" s="594" t="str">
        <f t="shared" si="37"/>
        <v>121631219</v>
      </c>
      <c r="C576" s="598">
        <f t="shared" si="38"/>
        <v>45838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>Индустриален холдинг България АД</v>
      </c>
      <c r="B577" s="594" t="str">
        <f t="shared" si="37"/>
        <v>121631219</v>
      </c>
      <c r="C577" s="598">
        <f t="shared" si="38"/>
        <v>45838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4024</v>
      </c>
    </row>
    <row r="578" spans="1:8">
      <c r="A578" s="594" t="str">
        <f t="shared" si="36"/>
        <v>Индустриален холдинг България АД</v>
      </c>
      <c r="B578" s="594" t="str">
        <f t="shared" si="37"/>
        <v>121631219</v>
      </c>
      <c r="C578" s="598">
        <f t="shared" si="38"/>
        <v>45838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4047</v>
      </c>
    </row>
    <row r="579" spans="1:8">
      <c r="A579" s="594" t="str">
        <f t="shared" si="36"/>
        <v>Индустриален холдинг България АД</v>
      </c>
      <c r="B579" s="594" t="str">
        <f t="shared" si="37"/>
        <v>121631219</v>
      </c>
      <c r="C579" s="598">
        <f t="shared" si="38"/>
        <v>45838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4329</v>
      </c>
    </row>
    <row r="580" spans="1:8">
      <c r="A580" s="594" t="str">
        <f t="shared" si="36"/>
        <v>Индустриален холдинг България АД</v>
      </c>
      <c r="B580" s="594" t="str">
        <f t="shared" si="37"/>
        <v>121631219</v>
      </c>
      <c r="C580" s="598">
        <f t="shared" si="38"/>
        <v>45838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487393</v>
      </c>
    </row>
    <row r="581" spans="1:8">
      <c r="A581" s="594" t="str">
        <f t="shared" si="36"/>
        <v>Индустриален холдинг България АД</v>
      </c>
      <c r="B581" s="594" t="str">
        <f t="shared" si="37"/>
        <v>121631219</v>
      </c>
      <c r="C581" s="598">
        <f t="shared" si="38"/>
        <v>45838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>Индустриален холдинг България АД</v>
      </c>
      <c r="B582" s="594" t="str">
        <f t="shared" si="37"/>
        <v>121631219</v>
      </c>
      <c r="C582" s="598">
        <f t="shared" si="38"/>
        <v>45838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0</v>
      </c>
    </row>
    <row r="583" spans="1:8">
      <c r="A583" s="594" t="str">
        <f t="shared" si="36"/>
        <v>Индустриален холдинг България АД</v>
      </c>
      <c r="B583" s="594" t="str">
        <f t="shared" si="37"/>
        <v>121631219</v>
      </c>
      <c r="C583" s="598">
        <f t="shared" si="38"/>
        <v>45838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>Индустриален холдинг България АД</v>
      </c>
      <c r="B584" s="594" t="str">
        <f t="shared" si="37"/>
        <v>121631219</v>
      </c>
      <c r="C584" s="598">
        <f t="shared" si="38"/>
        <v>45838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>Индустриален холдинг България АД</v>
      </c>
      <c r="B585" s="594" t="str">
        <f t="shared" si="37"/>
        <v>121631219</v>
      </c>
      <c r="C585" s="598">
        <f t="shared" si="38"/>
        <v>45838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>Индустриален холдинг България АД</v>
      </c>
      <c r="B586" s="594" t="str">
        <f t="shared" si="37"/>
        <v>121631219</v>
      </c>
      <c r="C586" s="598">
        <f t="shared" si="38"/>
        <v>45838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>Индустриален холдинг България АД</v>
      </c>
      <c r="B587" s="594" t="str">
        <f t="shared" si="37"/>
        <v>121631219</v>
      </c>
      <c r="C587" s="598">
        <f t="shared" si="38"/>
        <v>45838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>Индустриален холдинг България АД</v>
      </c>
      <c r="B588" s="594" t="str">
        <f t="shared" si="37"/>
        <v>121631219</v>
      </c>
      <c r="C588" s="598">
        <f t="shared" si="38"/>
        <v>45838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>Индустриален холдинг България АД</v>
      </c>
      <c r="B589" s="594" t="str">
        <f t="shared" ref="B589:B652" si="40">pdeBulstat</f>
        <v>121631219</v>
      </c>
      <c r="C589" s="598">
        <f t="shared" ref="C589:C652" si="41">endDate</f>
        <v>45838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0</v>
      </c>
    </row>
    <row r="590" spans="1:8">
      <c r="A590" s="594" t="str">
        <f t="shared" si="39"/>
        <v>Индустриален холдинг България АД</v>
      </c>
      <c r="B590" s="594" t="str">
        <f t="shared" si="40"/>
        <v>121631219</v>
      </c>
      <c r="C590" s="598">
        <f t="shared" si="41"/>
        <v>45838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0</v>
      </c>
    </row>
    <row r="591" spans="1:8">
      <c r="A591" s="594" t="str">
        <f t="shared" si="39"/>
        <v>Индустриален холдинг България АД</v>
      </c>
      <c r="B591" s="594" t="str">
        <f t="shared" si="40"/>
        <v>121631219</v>
      </c>
      <c r="C591" s="598">
        <f t="shared" si="41"/>
        <v>45838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>Индустриален холдинг България АД</v>
      </c>
      <c r="B592" s="594" t="str">
        <f t="shared" si="40"/>
        <v>121631219</v>
      </c>
      <c r="C592" s="598">
        <f t="shared" si="41"/>
        <v>45838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>Индустриален холдинг България АД</v>
      </c>
      <c r="B593" s="594" t="str">
        <f t="shared" si="40"/>
        <v>121631219</v>
      </c>
      <c r="C593" s="598">
        <f t="shared" si="41"/>
        <v>45838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>Индустриален холдинг България АД</v>
      </c>
      <c r="B594" s="594" t="str">
        <f t="shared" si="40"/>
        <v>121631219</v>
      </c>
      <c r="C594" s="598">
        <f t="shared" si="41"/>
        <v>45838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>Индустриален холдинг България АД</v>
      </c>
      <c r="B595" s="594" t="str">
        <f t="shared" si="40"/>
        <v>121631219</v>
      </c>
      <c r="C595" s="598">
        <f t="shared" si="41"/>
        <v>45838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>Индустриален холдинг България АД</v>
      </c>
      <c r="B596" s="594" t="str">
        <f t="shared" si="40"/>
        <v>121631219</v>
      </c>
      <c r="C596" s="598">
        <f t="shared" si="41"/>
        <v>45838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>Индустриален холдинг България АД</v>
      </c>
      <c r="B597" s="594" t="str">
        <f t="shared" si="40"/>
        <v>121631219</v>
      </c>
      <c r="C597" s="598">
        <f t="shared" si="41"/>
        <v>45838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>Индустриален холдинг България АД</v>
      </c>
      <c r="B598" s="594" t="str">
        <f t="shared" si="40"/>
        <v>121631219</v>
      </c>
      <c r="C598" s="598">
        <f t="shared" si="41"/>
        <v>45838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>Индустриален холдинг България АД</v>
      </c>
      <c r="B599" s="594" t="str">
        <f t="shared" si="40"/>
        <v>121631219</v>
      </c>
      <c r="C599" s="598">
        <f t="shared" si="41"/>
        <v>45838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>Индустриален холдинг България АД</v>
      </c>
      <c r="B600" s="594" t="str">
        <f t="shared" si="40"/>
        <v>121631219</v>
      </c>
      <c r="C600" s="598">
        <f t="shared" si="41"/>
        <v>45838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>Индустриален холдинг България АД</v>
      </c>
      <c r="B601" s="594" t="str">
        <f t="shared" si="40"/>
        <v>121631219</v>
      </c>
      <c r="C601" s="598">
        <f t="shared" si="41"/>
        <v>45838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>Индустриален холдинг България АД</v>
      </c>
      <c r="B602" s="594" t="str">
        <f t="shared" si="40"/>
        <v>121631219</v>
      </c>
      <c r="C602" s="598">
        <f t="shared" si="41"/>
        <v>45838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>Индустриален холдинг България АД</v>
      </c>
      <c r="B603" s="594" t="str">
        <f t="shared" si="40"/>
        <v>121631219</v>
      </c>
      <c r="C603" s="598">
        <f t="shared" si="41"/>
        <v>45838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>Индустриален холдинг България АД</v>
      </c>
      <c r="B604" s="594" t="str">
        <f t="shared" si="40"/>
        <v>121631219</v>
      </c>
      <c r="C604" s="598">
        <f t="shared" si="41"/>
        <v>45838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>Индустриален холдинг България АД</v>
      </c>
      <c r="B605" s="594" t="str">
        <f t="shared" si="40"/>
        <v>121631219</v>
      </c>
      <c r="C605" s="598">
        <f t="shared" si="41"/>
        <v>45838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>Индустриален холдинг България АД</v>
      </c>
      <c r="B606" s="594" t="str">
        <f t="shared" si="40"/>
        <v>121631219</v>
      </c>
      <c r="C606" s="598">
        <f t="shared" si="41"/>
        <v>45838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>Индустриален холдинг България АД</v>
      </c>
      <c r="B607" s="594" t="str">
        <f t="shared" si="40"/>
        <v>121631219</v>
      </c>
      <c r="C607" s="598">
        <f t="shared" si="41"/>
        <v>45838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141</v>
      </c>
    </row>
    <row r="608" spans="1:8">
      <c r="A608" s="594" t="str">
        <f t="shared" si="39"/>
        <v>Индустриален холдинг България АД</v>
      </c>
      <c r="B608" s="594" t="str">
        <f t="shared" si="40"/>
        <v>121631219</v>
      </c>
      <c r="C608" s="598">
        <f t="shared" si="41"/>
        <v>45838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141</v>
      </c>
    </row>
    <row r="609" spans="1:8">
      <c r="A609" s="594" t="str">
        <f t="shared" si="39"/>
        <v>Индустриален холдинг България АД</v>
      </c>
      <c r="B609" s="594" t="str">
        <f t="shared" si="40"/>
        <v>121631219</v>
      </c>
      <c r="C609" s="598">
        <f t="shared" si="41"/>
        <v>45838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>Индустриален холдинг България АД</v>
      </c>
      <c r="B610" s="594" t="str">
        <f t="shared" si="40"/>
        <v>121631219</v>
      </c>
      <c r="C610" s="598">
        <f t="shared" si="41"/>
        <v>45838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141</v>
      </c>
    </row>
    <row r="611" spans="1:8">
      <c r="A611" s="594" t="str">
        <f t="shared" si="39"/>
        <v>Индустриален холдинг България АД</v>
      </c>
      <c r="B611" s="594" t="str">
        <f t="shared" si="40"/>
        <v>121631219</v>
      </c>
      <c r="C611" s="598">
        <f t="shared" si="41"/>
        <v>45838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>Индустриален холдинг България АД</v>
      </c>
      <c r="B612" s="594" t="str">
        <f t="shared" si="40"/>
        <v>121631219</v>
      </c>
      <c r="C612" s="598">
        <f t="shared" si="41"/>
        <v>45838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0</v>
      </c>
    </row>
    <row r="613" spans="1:8">
      <c r="A613" s="594" t="str">
        <f t="shared" si="39"/>
        <v>Индустриален холдинг България АД</v>
      </c>
      <c r="B613" s="594" t="str">
        <f t="shared" si="40"/>
        <v>121631219</v>
      </c>
      <c r="C613" s="598">
        <f t="shared" si="41"/>
        <v>45838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>Индустриален холдинг България АД</v>
      </c>
      <c r="B614" s="594" t="str">
        <f t="shared" si="40"/>
        <v>121631219</v>
      </c>
      <c r="C614" s="598">
        <f t="shared" si="41"/>
        <v>45838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27</v>
      </c>
    </row>
    <row r="615" spans="1:8">
      <c r="A615" s="594" t="str">
        <f t="shared" si="39"/>
        <v>Индустриален холдинг България АД</v>
      </c>
      <c r="B615" s="594" t="str">
        <f t="shared" si="40"/>
        <v>121631219</v>
      </c>
      <c r="C615" s="598">
        <f t="shared" si="41"/>
        <v>45838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13535</v>
      </c>
    </row>
    <row r="616" spans="1:8">
      <c r="A616" s="594" t="str">
        <f t="shared" si="39"/>
        <v>Индустриален холдинг България АД</v>
      </c>
      <c r="B616" s="594" t="str">
        <f t="shared" si="40"/>
        <v>121631219</v>
      </c>
      <c r="C616" s="598">
        <f t="shared" si="41"/>
        <v>45838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>Индустриален холдинг България АД</v>
      </c>
      <c r="B617" s="594" t="str">
        <f t="shared" si="40"/>
        <v>121631219</v>
      </c>
      <c r="C617" s="598">
        <f t="shared" si="41"/>
        <v>45838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4148</v>
      </c>
    </row>
    <row r="618" spans="1:8">
      <c r="A618" s="594" t="str">
        <f t="shared" si="39"/>
        <v>Индустриален холдинг България АД</v>
      </c>
      <c r="B618" s="594" t="str">
        <f t="shared" si="40"/>
        <v>121631219</v>
      </c>
      <c r="C618" s="598">
        <f t="shared" si="41"/>
        <v>45838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>Индустриален холдинг България АД</v>
      </c>
      <c r="B619" s="594" t="str">
        <f t="shared" si="40"/>
        <v>121631219</v>
      </c>
      <c r="C619" s="598">
        <f t="shared" si="41"/>
        <v>45838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17710</v>
      </c>
    </row>
    <row r="620" spans="1:8">
      <c r="A620" s="594" t="str">
        <f t="shared" si="39"/>
        <v>Индустриален холдинг България АД</v>
      </c>
      <c r="B620" s="594" t="str">
        <f t="shared" si="40"/>
        <v>121631219</v>
      </c>
      <c r="C620" s="598">
        <f t="shared" si="41"/>
        <v>45838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0</v>
      </c>
    </row>
    <row r="621" spans="1:8">
      <c r="A621" s="594" t="str">
        <f t="shared" si="39"/>
        <v>Индустриален холдинг България АД</v>
      </c>
      <c r="B621" s="594" t="str">
        <f t="shared" si="40"/>
        <v>121631219</v>
      </c>
      <c r="C621" s="598">
        <f t="shared" si="41"/>
        <v>45838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>Индустриален холдинг България АД</v>
      </c>
      <c r="B622" s="594" t="str">
        <f t="shared" si="40"/>
        <v>121631219</v>
      </c>
      <c r="C622" s="598">
        <f t="shared" si="41"/>
        <v>45838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5</v>
      </c>
    </row>
    <row r="623" spans="1:8">
      <c r="A623" s="594" t="str">
        <f t="shared" si="39"/>
        <v>Индустриален холдинг България АД</v>
      </c>
      <c r="B623" s="594" t="str">
        <f t="shared" si="40"/>
        <v>121631219</v>
      </c>
      <c r="C623" s="598">
        <f t="shared" si="41"/>
        <v>45838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>Индустриален холдинг България АД</v>
      </c>
      <c r="B624" s="594" t="str">
        <f t="shared" si="40"/>
        <v>121631219</v>
      </c>
      <c r="C624" s="598">
        <f t="shared" si="41"/>
        <v>45838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>Индустриален холдинг България АД</v>
      </c>
      <c r="B625" s="594" t="str">
        <f t="shared" si="40"/>
        <v>121631219</v>
      </c>
      <c r="C625" s="598">
        <f t="shared" si="41"/>
        <v>45838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8</v>
      </c>
    </row>
    <row r="626" spans="1:8">
      <c r="A626" s="594" t="str">
        <f t="shared" si="39"/>
        <v>Индустриален холдинг България АД</v>
      </c>
      <c r="B626" s="594" t="str">
        <f t="shared" si="40"/>
        <v>121631219</v>
      </c>
      <c r="C626" s="598">
        <f t="shared" si="41"/>
        <v>45838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13</v>
      </c>
    </row>
    <row r="627" spans="1:8">
      <c r="A627" s="594" t="str">
        <f t="shared" si="39"/>
        <v>Индустриален холдинг България АД</v>
      </c>
      <c r="B627" s="594" t="str">
        <f t="shared" si="40"/>
        <v>121631219</v>
      </c>
      <c r="C627" s="598">
        <f t="shared" si="41"/>
        <v>45838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0</v>
      </c>
    </row>
    <row r="628" spans="1:8">
      <c r="A628" s="594" t="str">
        <f t="shared" si="39"/>
        <v>Индустриален холдинг България АД</v>
      </c>
      <c r="B628" s="594" t="str">
        <f t="shared" si="40"/>
        <v>121631219</v>
      </c>
      <c r="C628" s="598">
        <f t="shared" si="41"/>
        <v>45838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>Индустриален холдинг България АД</v>
      </c>
      <c r="B629" s="594" t="str">
        <f t="shared" si="40"/>
        <v>121631219</v>
      </c>
      <c r="C629" s="598">
        <f t="shared" si="41"/>
        <v>45838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>Индустриален холдинг България АД</v>
      </c>
      <c r="B630" s="594" t="str">
        <f t="shared" si="40"/>
        <v>121631219</v>
      </c>
      <c r="C630" s="598">
        <f t="shared" si="41"/>
        <v>45838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0</v>
      </c>
    </row>
    <row r="631" spans="1:8">
      <c r="A631" s="594" t="str">
        <f t="shared" si="39"/>
        <v>Индустриален холдинг България АД</v>
      </c>
      <c r="B631" s="594" t="str">
        <f t="shared" si="40"/>
        <v>121631219</v>
      </c>
      <c r="C631" s="598">
        <f t="shared" si="41"/>
        <v>45838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>Индустриален холдинг България АД</v>
      </c>
      <c r="B632" s="594" t="str">
        <f t="shared" si="40"/>
        <v>121631219</v>
      </c>
      <c r="C632" s="598">
        <f t="shared" si="41"/>
        <v>45838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>Индустриален холдинг България АД</v>
      </c>
      <c r="B633" s="594" t="str">
        <f t="shared" si="40"/>
        <v>121631219</v>
      </c>
      <c r="C633" s="598">
        <f t="shared" si="41"/>
        <v>45838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>Индустриален холдинг България АД</v>
      </c>
      <c r="B634" s="594" t="str">
        <f t="shared" si="40"/>
        <v>121631219</v>
      </c>
      <c r="C634" s="598">
        <f t="shared" si="41"/>
        <v>45838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>Индустриален холдинг България АД</v>
      </c>
      <c r="B635" s="594" t="str">
        <f t="shared" si="40"/>
        <v>121631219</v>
      </c>
      <c r="C635" s="598">
        <f t="shared" si="41"/>
        <v>45838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>Индустриален холдинг България АД</v>
      </c>
      <c r="B636" s="594" t="str">
        <f t="shared" si="40"/>
        <v>121631219</v>
      </c>
      <c r="C636" s="598">
        <f t="shared" si="41"/>
        <v>45838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>Индустриален холдинг България АД</v>
      </c>
      <c r="B637" s="594" t="str">
        <f t="shared" si="40"/>
        <v>121631219</v>
      </c>
      <c r="C637" s="598">
        <f t="shared" si="41"/>
        <v>45838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164</v>
      </c>
    </row>
    <row r="638" spans="1:8">
      <c r="A638" s="594" t="str">
        <f t="shared" si="39"/>
        <v>Индустриален холдинг България АД</v>
      </c>
      <c r="B638" s="594" t="str">
        <f t="shared" si="40"/>
        <v>121631219</v>
      </c>
      <c r="C638" s="598">
        <f t="shared" si="41"/>
        <v>45838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164</v>
      </c>
    </row>
    <row r="639" spans="1:8">
      <c r="A639" s="594" t="str">
        <f t="shared" si="39"/>
        <v>Индустриален холдинг България АД</v>
      </c>
      <c r="B639" s="594" t="str">
        <f t="shared" si="40"/>
        <v>121631219</v>
      </c>
      <c r="C639" s="598">
        <f t="shared" si="41"/>
        <v>45838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>Индустриален холдинг България АД</v>
      </c>
      <c r="B640" s="594" t="str">
        <f t="shared" si="40"/>
        <v>121631219</v>
      </c>
      <c r="C640" s="598">
        <f t="shared" si="41"/>
        <v>45838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17887</v>
      </c>
    </row>
    <row r="641" spans="1:8">
      <c r="A641" s="594" t="str">
        <f t="shared" si="39"/>
        <v>Индустриален холдинг България АД</v>
      </c>
      <c r="B641" s="594" t="str">
        <f t="shared" si="40"/>
        <v>121631219</v>
      </c>
      <c r="C641" s="598">
        <f t="shared" si="41"/>
        <v>45838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110333</v>
      </c>
    </row>
    <row r="642" spans="1:8">
      <c r="A642" s="594" t="str">
        <f t="shared" si="39"/>
        <v>Индустриален холдинг България АД</v>
      </c>
      <c r="B642" s="594" t="str">
        <f t="shared" si="40"/>
        <v>121631219</v>
      </c>
      <c r="C642" s="598">
        <f t="shared" si="41"/>
        <v>45838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38653</v>
      </c>
    </row>
    <row r="643" spans="1:8">
      <c r="A643" s="594" t="str">
        <f t="shared" si="39"/>
        <v>Индустриален холдинг България АД</v>
      </c>
      <c r="B643" s="594" t="str">
        <f t="shared" si="40"/>
        <v>121631219</v>
      </c>
      <c r="C643" s="598">
        <f t="shared" si="41"/>
        <v>45838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51182</v>
      </c>
    </row>
    <row r="644" spans="1:8">
      <c r="A644" s="594" t="str">
        <f t="shared" si="39"/>
        <v>Индустриален холдинг България АД</v>
      </c>
      <c r="B644" s="594" t="str">
        <f t="shared" si="40"/>
        <v>121631219</v>
      </c>
      <c r="C644" s="598">
        <f t="shared" si="41"/>
        <v>45838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45595</v>
      </c>
    </row>
    <row r="645" spans="1:8">
      <c r="A645" s="594" t="str">
        <f t="shared" si="39"/>
        <v>Индустриален холдинг България АД</v>
      </c>
      <c r="B645" s="594" t="str">
        <f t="shared" si="40"/>
        <v>121631219</v>
      </c>
      <c r="C645" s="598">
        <f t="shared" si="41"/>
        <v>45838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115932</v>
      </c>
    </row>
    <row r="646" spans="1:8">
      <c r="A646" s="594" t="str">
        <f t="shared" si="39"/>
        <v>Индустриален холдинг България АД</v>
      </c>
      <c r="B646" s="594" t="str">
        <f t="shared" si="40"/>
        <v>121631219</v>
      </c>
      <c r="C646" s="598">
        <f t="shared" si="41"/>
        <v>45838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1845</v>
      </c>
    </row>
    <row r="647" spans="1:8">
      <c r="A647" s="594" t="str">
        <f t="shared" si="39"/>
        <v>Индустриален холдинг България АД</v>
      </c>
      <c r="B647" s="594" t="str">
        <f t="shared" si="40"/>
        <v>121631219</v>
      </c>
      <c r="C647" s="598">
        <f t="shared" si="41"/>
        <v>45838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70467</v>
      </c>
    </row>
    <row r="648" spans="1:8">
      <c r="A648" s="594" t="str">
        <f t="shared" si="39"/>
        <v>Индустриален холдинг България АД</v>
      </c>
      <c r="B648" s="594" t="str">
        <f t="shared" si="40"/>
        <v>121631219</v>
      </c>
      <c r="C648" s="598">
        <f t="shared" si="41"/>
        <v>45838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2743</v>
      </c>
    </row>
    <row r="649" spans="1:8">
      <c r="A649" s="594" t="str">
        <f t="shared" si="39"/>
        <v>Индустриален холдинг България АД</v>
      </c>
      <c r="B649" s="594" t="str">
        <f t="shared" si="40"/>
        <v>121631219</v>
      </c>
      <c r="C649" s="598">
        <f t="shared" si="41"/>
        <v>45838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436750</v>
      </c>
    </row>
    <row r="650" spans="1:8">
      <c r="A650" s="594" t="str">
        <f t="shared" si="39"/>
        <v>Индустриален холдинг България АД</v>
      </c>
      <c r="B650" s="594" t="str">
        <f t="shared" si="40"/>
        <v>121631219</v>
      </c>
      <c r="C650" s="598">
        <f t="shared" si="41"/>
        <v>45838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15960</v>
      </c>
    </row>
    <row r="651" spans="1:8">
      <c r="A651" s="594" t="str">
        <f t="shared" si="39"/>
        <v>Индустриален холдинг България АД</v>
      </c>
      <c r="B651" s="594" t="str">
        <f t="shared" si="40"/>
        <v>121631219</v>
      </c>
      <c r="C651" s="598">
        <f t="shared" si="41"/>
        <v>45838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0</v>
      </c>
    </row>
    <row r="652" spans="1:8">
      <c r="A652" s="594" t="str">
        <f t="shared" si="39"/>
        <v>Индустриален холдинг България АД</v>
      </c>
      <c r="B652" s="594" t="str">
        <f t="shared" si="40"/>
        <v>121631219</v>
      </c>
      <c r="C652" s="598">
        <f t="shared" si="41"/>
        <v>45838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5699</v>
      </c>
    </row>
    <row r="653" spans="1:8">
      <c r="A653" s="594" t="str">
        <f t="shared" ref="A653:A716" si="42">pdeName</f>
        <v>Индустриален холдинг България АД</v>
      </c>
      <c r="B653" s="594" t="str">
        <f t="shared" ref="B653:B716" si="43">pdeBulstat</f>
        <v>121631219</v>
      </c>
      <c r="C653" s="598">
        <f t="shared" ref="C653:C716" si="44">endDate</f>
        <v>45838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1837</v>
      </c>
    </row>
    <row r="654" spans="1:8">
      <c r="A654" s="594" t="str">
        <f t="shared" si="42"/>
        <v>Индустриален холдинг България АД</v>
      </c>
      <c r="B654" s="594" t="str">
        <f t="shared" si="43"/>
        <v>121631219</v>
      </c>
      <c r="C654" s="598">
        <f t="shared" si="44"/>
        <v>45838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23</v>
      </c>
    </row>
    <row r="655" spans="1:8">
      <c r="A655" s="594" t="str">
        <f t="shared" si="42"/>
        <v>Индустриален холдинг България АД</v>
      </c>
      <c r="B655" s="594" t="str">
        <f t="shared" si="43"/>
        <v>121631219</v>
      </c>
      <c r="C655" s="598">
        <f t="shared" si="44"/>
        <v>45838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1025</v>
      </c>
    </row>
    <row r="656" spans="1:8">
      <c r="A656" s="594" t="str">
        <f t="shared" si="42"/>
        <v>Индустриален холдинг България АД</v>
      </c>
      <c r="B656" s="594" t="str">
        <f t="shared" si="43"/>
        <v>121631219</v>
      </c>
      <c r="C656" s="598">
        <f t="shared" si="44"/>
        <v>45838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8584</v>
      </c>
    </row>
    <row r="657" spans="1:8">
      <c r="A657" s="594" t="str">
        <f t="shared" si="42"/>
        <v>Индустриален холдинг България АД</v>
      </c>
      <c r="B657" s="594" t="str">
        <f t="shared" si="43"/>
        <v>121631219</v>
      </c>
      <c r="C657" s="598">
        <f t="shared" si="44"/>
        <v>45838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23</v>
      </c>
    </row>
    <row r="658" spans="1:8">
      <c r="A658" s="594" t="str">
        <f t="shared" si="42"/>
        <v>Индустриален холдинг България АД</v>
      </c>
      <c r="B658" s="594" t="str">
        <f t="shared" si="43"/>
        <v>121631219</v>
      </c>
      <c r="C658" s="598">
        <f t="shared" si="44"/>
        <v>45838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>Индустриален холдинг България АД</v>
      </c>
      <c r="B659" s="594" t="str">
        <f t="shared" si="43"/>
        <v>121631219</v>
      </c>
      <c r="C659" s="598">
        <f t="shared" si="44"/>
        <v>45838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>Индустриален холдинг България АД</v>
      </c>
      <c r="B660" s="594" t="str">
        <f t="shared" si="43"/>
        <v>121631219</v>
      </c>
      <c r="C660" s="598">
        <f t="shared" si="44"/>
        <v>45838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23</v>
      </c>
    </row>
    <row r="661" spans="1:8">
      <c r="A661" s="594" t="str">
        <f t="shared" si="42"/>
        <v>Индустриален холдинг България АД</v>
      </c>
      <c r="B661" s="594" t="str">
        <f t="shared" si="43"/>
        <v>121631219</v>
      </c>
      <c r="C661" s="598">
        <f t="shared" si="44"/>
        <v>45838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0</v>
      </c>
    </row>
    <row r="662" spans="1:8">
      <c r="A662" s="594" t="str">
        <f t="shared" si="42"/>
        <v>Индустриален холдинг България АД</v>
      </c>
      <c r="B662" s="594" t="str">
        <f t="shared" si="43"/>
        <v>121631219</v>
      </c>
      <c r="C662" s="598">
        <f t="shared" si="44"/>
        <v>45838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>Индустриален холдинг България АД</v>
      </c>
      <c r="B663" s="594" t="str">
        <f t="shared" si="43"/>
        <v>121631219</v>
      </c>
      <c r="C663" s="598">
        <f t="shared" si="44"/>
        <v>45838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>Индустриален холдинг България АД</v>
      </c>
      <c r="B664" s="594" t="str">
        <f t="shared" si="43"/>
        <v>121631219</v>
      </c>
      <c r="C664" s="598">
        <f t="shared" si="44"/>
        <v>45838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>Индустриален холдинг България АД</v>
      </c>
      <c r="B665" s="594" t="str">
        <f t="shared" si="43"/>
        <v>121631219</v>
      </c>
      <c r="C665" s="598">
        <f t="shared" si="44"/>
        <v>45838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>Индустриален холдинг България АД</v>
      </c>
      <c r="B666" s="594" t="str">
        <f t="shared" si="43"/>
        <v>121631219</v>
      </c>
      <c r="C666" s="598">
        <f t="shared" si="44"/>
        <v>45838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>Индустриален холдинг България АД</v>
      </c>
      <c r="B667" s="594" t="str">
        <f t="shared" si="43"/>
        <v>121631219</v>
      </c>
      <c r="C667" s="598">
        <f t="shared" si="44"/>
        <v>45838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4001</v>
      </c>
    </row>
    <row r="668" spans="1:8">
      <c r="A668" s="594" t="str">
        <f t="shared" si="42"/>
        <v>Индустриален холдинг България АД</v>
      </c>
      <c r="B668" s="594" t="str">
        <f t="shared" si="43"/>
        <v>121631219</v>
      </c>
      <c r="C668" s="598">
        <f t="shared" si="44"/>
        <v>45838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4024</v>
      </c>
    </row>
    <row r="669" spans="1:8">
      <c r="A669" s="594" t="str">
        <f t="shared" si="42"/>
        <v>Индустриален холдинг България АД</v>
      </c>
      <c r="B669" s="594" t="str">
        <f t="shared" si="43"/>
        <v>121631219</v>
      </c>
      <c r="C669" s="598">
        <f t="shared" si="44"/>
        <v>45838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4329</v>
      </c>
    </row>
    <row r="670" spans="1:8">
      <c r="A670" s="594" t="str">
        <f t="shared" si="42"/>
        <v>Индустриален холдинг България АД</v>
      </c>
      <c r="B670" s="594" t="str">
        <f t="shared" si="43"/>
        <v>121631219</v>
      </c>
      <c r="C670" s="598">
        <f t="shared" si="44"/>
        <v>45838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469647</v>
      </c>
    </row>
    <row r="671" spans="1:8">
      <c r="A671" s="594" t="str">
        <f t="shared" si="42"/>
        <v>Индустриален холдинг България АД</v>
      </c>
      <c r="B671" s="594" t="str">
        <f t="shared" si="43"/>
        <v>121631219</v>
      </c>
      <c r="C671" s="598">
        <f t="shared" si="44"/>
        <v>45838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>Индустриален холдинг България АД</v>
      </c>
      <c r="B672" s="594" t="str">
        <f t="shared" si="43"/>
        <v>121631219</v>
      </c>
      <c r="C672" s="598">
        <f t="shared" si="44"/>
        <v>45838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1070</v>
      </c>
    </row>
    <row r="673" spans="1:8">
      <c r="A673" s="594" t="str">
        <f t="shared" si="42"/>
        <v>Индустриален холдинг България АД</v>
      </c>
      <c r="B673" s="594" t="str">
        <f t="shared" si="43"/>
        <v>121631219</v>
      </c>
      <c r="C673" s="598">
        <f t="shared" si="44"/>
        <v>45838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26882</v>
      </c>
    </row>
    <row r="674" spans="1:8">
      <c r="A674" s="594" t="str">
        <f t="shared" si="42"/>
        <v>Индустриален холдинг България АД</v>
      </c>
      <c r="B674" s="594" t="str">
        <f t="shared" si="43"/>
        <v>121631219</v>
      </c>
      <c r="C674" s="598">
        <f t="shared" si="44"/>
        <v>45838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12864</v>
      </c>
    </row>
    <row r="675" spans="1:8">
      <c r="A675" s="594" t="str">
        <f t="shared" si="42"/>
        <v>Индустриален холдинг България АД</v>
      </c>
      <c r="B675" s="594" t="str">
        <f t="shared" si="43"/>
        <v>121631219</v>
      </c>
      <c r="C675" s="598">
        <f t="shared" si="44"/>
        <v>45838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15961</v>
      </c>
    </row>
    <row r="676" spans="1:8">
      <c r="A676" s="594" t="str">
        <f t="shared" si="42"/>
        <v>Индустриален холдинг България АД</v>
      </c>
      <c r="B676" s="594" t="str">
        <f t="shared" si="43"/>
        <v>121631219</v>
      </c>
      <c r="C676" s="598">
        <f t="shared" si="44"/>
        <v>45838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1379</v>
      </c>
    </row>
    <row r="677" spans="1:8">
      <c r="A677" s="594" t="str">
        <f t="shared" si="42"/>
        <v>Индустриален холдинг България АД</v>
      </c>
      <c r="B677" s="594" t="str">
        <f t="shared" si="43"/>
        <v>121631219</v>
      </c>
      <c r="C677" s="598">
        <f t="shared" si="44"/>
        <v>45838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0</v>
      </c>
    </row>
    <row r="678" spans="1:8">
      <c r="A678" s="594" t="str">
        <f t="shared" si="42"/>
        <v>Индустриален холдинг България АД</v>
      </c>
      <c r="B678" s="594" t="str">
        <f t="shared" si="43"/>
        <v>121631219</v>
      </c>
      <c r="C678" s="598">
        <f t="shared" si="44"/>
        <v>45838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1826</v>
      </c>
    </row>
    <row r="679" spans="1:8">
      <c r="A679" s="594" t="str">
        <f t="shared" si="42"/>
        <v>Индустриален холдинг България АД</v>
      </c>
      <c r="B679" s="594" t="str">
        <f t="shared" si="43"/>
        <v>121631219</v>
      </c>
      <c r="C679" s="598">
        <f t="shared" si="44"/>
        <v>45838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59982</v>
      </c>
    </row>
    <row r="680" spans="1:8">
      <c r="A680" s="594" t="str">
        <f t="shared" si="42"/>
        <v>Индустриален холдинг България АД</v>
      </c>
      <c r="B680" s="594" t="str">
        <f t="shared" si="43"/>
        <v>121631219</v>
      </c>
      <c r="C680" s="598">
        <f t="shared" si="44"/>
        <v>45838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>Индустриален холдинг България АД</v>
      </c>
      <c r="B681" s="594" t="str">
        <f t="shared" si="43"/>
        <v>121631219</v>
      </c>
      <c r="C681" s="598">
        <f t="shared" si="44"/>
        <v>45838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0</v>
      </c>
    </row>
    <row r="682" spans="1:8">
      <c r="A682" s="594" t="str">
        <f t="shared" si="42"/>
        <v>Индустриален холдинг България АД</v>
      </c>
      <c r="B682" s="594" t="str">
        <f t="shared" si="43"/>
        <v>121631219</v>
      </c>
      <c r="C682" s="598">
        <f t="shared" si="44"/>
        <v>45838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4059</v>
      </c>
    </row>
    <row r="683" spans="1:8">
      <c r="A683" s="594" t="str">
        <f t="shared" si="42"/>
        <v>Индустриален холдинг България АД</v>
      </c>
      <c r="B683" s="594" t="str">
        <f t="shared" si="43"/>
        <v>121631219</v>
      </c>
      <c r="C683" s="598">
        <f t="shared" si="44"/>
        <v>45838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1589</v>
      </c>
    </row>
    <row r="684" spans="1:8">
      <c r="A684" s="594" t="str">
        <f t="shared" si="42"/>
        <v>Индустриален холдинг България АД</v>
      </c>
      <c r="B684" s="594" t="str">
        <f t="shared" si="43"/>
        <v>121631219</v>
      </c>
      <c r="C684" s="598">
        <f t="shared" si="44"/>
        <v>45838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23</v>
      </c>
    </row>
    <row r="685" spans="1:8">
      <c r="A685" s="594" t="str">
        <f t="shared" si="42"/>
        <v>Индустриален холдинг България АД</v>
      </c>
      <c r="B685" s="594" t="str">
        <f t="shared" si="43"/>
        <v>121631219</v>
      </c>
      <c r="C685" s="598">
        <f t="shared" si="44"/>
        <v>45838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726</v>
      </c>
    </row>
    <row r="686" spans="1:8">
      <c r="A686" s="594" t="str">
        <f t="shared" si="42"/>
        <v>Индустриален холдинг България АД</v>
      </c>
      <c r="B686" s="594" t="str">
        <f t="shared" si="43"/>
        <v>121631219</v>
      </c>
      <c r="C686" s="598">
        <f t="shared" si="44"/>
        <v>45838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6397</v>
      </c>
    </row>
    <row r="687" spans="1:8">
      <c r="A687" s="594" t="str">
        <f t="shared" si="42"/>
        <v>Индустриален холдинг България АД</v>
      </c>
      <c r="B687" s="594" t="str">
        <f t="shared" si="43"/>
        <v>121631219</v>
      </c>
      <c r="C687" s="598">
        <f t="shared" si="44"/>
        <v>45838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>Индустриален холдинг България АД</v>
      </c>
      <c r="B688" s="594" t="str">
        <f t="shared" si="43"/>
        <v>121631219</v>
      </c>
      <c r="C688" s="598">
        <f t="shared" si="44"/>
        <v>45838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>Индустриален холдинг България АД</v>
      </c>
      <c r="B689" s="594" t="str">
        <f t="shared" si="43"/>
        <v>121631219</v>
      </c>
      <c r="C689" s="598">
        <f t="shared" si="44"/>
        <v>45838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>Индустриален холдинг България АД</v>
      </c>
      <c r="B690" s="594" t="str">
        <f t="shared" si="43"/>
        <v>121631219</v>
      </c>
      <c r="C690" s="598">
        <f t="shared" si="44"/>
        <v>45838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>Индустриален холдинг България АД</v>
      </c>
      <c r="B691" s="594" t="str">
        <f t="shared" si="43"/>
        <v>121631219</v>
      </c>
      <c r="C691" s="598">
        <f t="shared" si="44"/>
        <v>45838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>Индустриален холдинг България АД</v>
      </c>
      <c r="B692" s="594" t="str">
        <f t="shared" si="43"/>
        <v>121631219</v>
      </c>
      <c r="C692" s="598">
        <f t="shared" si="44"/>
        <v>45838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>Индустриален холдинг България АД</v>
      </c>
      <c r="B693" s="594" t="str">
        <f t="shared" si="43"/>
        <v>121631219</v>
      </c>
      <c r="C693" s="598">
        <f t="shared" si="44"/>
        <v>45838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>Индустриален холдинг България АД</v>
      </c>
      <c r="B694" s="594" t="str">
        <f t="shared" si="43"/>
        <v>121631219</v>
      </c>
      <c r="C694" s="598">
        <f t="shared" si="44"/>
        <v>45838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>Индустриален холдинг България АД</v>
      </c>
      <c r="B695" s="594" t="str">
        <f t="shared" si="43"/>
        <v>121631219</v>
      </c>
      <c r="C695" s="598">
        <f t="shared" si="44"/>
        <v>45838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>Индустриален холдинг България АД</v>
      </c>
      <c r="B696" s="594" t="str">
        <f t="shared" si="43"/>
        <v>121631219</v>
      </c>
      <c r="C696" s="598">
        <f t="shared" si="44"/>
        <v>45838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>Индустриален холдинг България АД</v>
      </c>
      <c r="B697" s="594" t="str">
        <f t="shared" si="43"/>
        <v>121631219</v>
      </c>
      <c r="C697" s="598">
        <f t="shared" si="44"/>
        <v>45838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>Индустриален холдинг България АД</v>
      </c>
      <c r="B698" s="594" t="str">
        <f t="shared" si="43"/>
        <v>121631219</v>
      </c>
      <c r="C698" s="598">
        <f t="shared" si="44"/>
        <v>45838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>Индустриален холдинг България АД</v>
      </c>
      <c r="B699" s="594" t="str">
        <f t="shared" si="43"/>
        <v>121631219</v>
      </c>
      <c r="C699" s="598">
        <f t="shared" si="44"/>
        <v>45838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0</v>
      </c>
    </row>
    <row r="700" spans="1:8">
      <c r="A700" s="594" t="str">
        <f t="shared" si="42"/>
        <v>Индустриален холдинг България АД</v>
      </c>
      <c r="B700" s="594" t="str">
        <f t="shared" si="43"/>
        <v>121631219</v>
      </c>
      <c r="C700" s="598">
        <f t="shared" si="44"/>
        <v>45838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66379</v>
      </c>
    </row>
    <row r="701" spans="1:8">
      <c r="A701" s="594" t="str">
        <f t="shared" si="42"/>
        <v>Индустриален холдинг България АД</v>
      </c>
      <c r="B701" s="594" t="str">
        <f t="shared" si="43"/>
        <v>121631219</v>
      </c>
      <c r="C701" s="598">
        <f t="shared" si="44"/>
        <v>45838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>Индустриален холдинг България АД</v>
      </c>
      <c r="B702" s="594" t="str">
        <f t="shared" si="43"/>
        <v>121631219</v>
      </c>
      <c r="C702" s="598">
        <f t="shared" si="44"/>
        <v>45838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840</v>
      </c>
    </row>
    <row r="703" spans="1:8">
      <c r="A703" s="594" t="str">
        <f t="shared" si="42"/>
        <v>Индустриален холдинг България АД</v>
      </c>
      <c r="B703" s="594" t="str">
        <f t="shared" si="43"/>
        <v>121631219</v>
      </c>
      <c r="C703" s="598">
        <f t="shared" si="44"/>
        <v>45838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983</v>
      </c>
    </row>
    <row r="704" spans="1:8">
      <c r="A704" s="594" t="str">
        <f t="shared" si="42"/>
        <v>Индустриален холдинг България АД</v>
      </c>
      <c r="B704" s="594" t="str">
        <f t="shared" si="43"/>
        <v>121631219</v>
      </c>
      <c r="C704" s="598">
        <f t="shared" si="44"/>
        <v>45838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867</v>
      </c>
    </row>
    <row r="705" spans="1:8">
      <c r="A705" s="594" t="str">
        <f t="shared" si="42"/>
        <v>Индустриален холдинг България АД</v>
      </c>
      <c r="B705" s="594" t="str">
        <f t="shared" si="43"/>
        <v>121631219</v>
      </c>
      <c r="C705" s="598">
        <f t="shared" si="44"/>
        <v>45838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4034</v>
      </c>
    </row>
    <row r="706" spans="1:8">
      <c r="A706" s="594" t="str">
        <f t="shared" si="42"/>
        <v>Индустриален холдинг България АД</v>
      </c>
      <c r="B706" s="594" t="str">
        <f t="shared" si="43"/>
        <v>121631219</v>
      </c>
      <c r="C706" s="598">
        <f t="shared" si="44"/>
        <v>45838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50</v>
      </c>
    </row>
    <row r="707" spans="1:8">
      <c r="A707" s="594" t="str">
        <f t="shared" si="42"/>
        <v>Индустриален холдинг България АД</v>
      </c>
      <c r="B707" s="594" t="str">
        <f t="shared" si="43"/>
        <v>121631219</v>
      </c>
      <c r="C707" s="598">
        <f t="shared" si="44"/>
        <v>45838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>Индустриален холдинг България АД</v>
      </c>
      <c r="B708" s="594" t="str">
        <f t="shared" si="43"/>
        <v>121631219</v>
      </c>
      <c r="C708" s="598">
        <f t="shared" si="44"/>
        <v>45838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75</v>
      </c>
    </row>
    <row r="709" spans="1:8">
      <c r="A709" s="594" t="str">
        <f t="shared" si="42"/>
        <v>Индустриален холдинг България АД</v>
      </c>
      <c r="B709" s="594" t="str">
        <f t="shared" si="43"/>
        <v>121631219</v>
      </c>
      <c r="C709" s="598">
        <f t="shared" si="44"/>
        <v>45838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6849</v>
      </c>
    </row>
    <row r="710" spans="1:8">
      <c r="A710" s="594" t="str">
        <f t="shared" si="42"/>
        <v>Индустриален холдинг България АД</v>
      </c>
      <c r="B710" s="594" t="str">
        <f t="shared" si="43"/>
        <v>121631219</v>
      </c>
      <c r="C710" s="598">
        <f t="shared" si="44"/>
        <v>45838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>Индустриален холдинг България АД</v>
      </c>
      <c r="B711" s="594" t="str">
        <f t="shared" si="43"/>
        <v>121631219</v>
      </c>
      <c r="C711" s="598">
        <f t="shared" si="44"/>
        <v>45838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0</v>
      </c>
    </row>
    <row r="712" spans="1:8">
      <c r="A712" s="594" t="str">
        <f t="shared" si="42"/>
        <v>Индустриален холдинг България АД</v>
      </c>
      <c r="B712" s="594" t="str">
        <f t="shared" si="43"/>
        <v>121631219</v>
      </c>
      <c r="C712" s="598">
        <f t="shared" si="44"/>
        <v>45838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35</v>
      </c>
    </row>
    <row r="713" spans="1:8">
      <c r="A713" s="594" t="str">
        <f t="shared" si="42"/>
        <v>Индустриален холдинг България АД</v>
      </c>
      <c r="B713" s="594" t="str">
        <f t="shared" si="43"/>
        <v>121631219</v>
      </c>
      <c r="C713" s="598">
        <f t="shared" si="44"/>
        <v>45838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32</v>
      </c>
    </row>
    <row r="714" spans="1:8">
      <c r="A714" s="594" t="str">
        <f t="shared" si="42"/>
        <v>Индустриален холдинг България АД</v>
      </c>
      <c r="B714" s="594" t="str">
        <f t="shared" si="43"/>
        <v>121631219</v>
      </c>
      <c r="C714" s="598">
        <f t="shared" si="44"/>
        <v>45838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>Индустриален холдинг България АД</v>
      </c>
      <c r="B715" s="594" t="str">
        <f t="shared" si="43"/>
        <v>121631219</v>
      </c>
      <c r="C715" s="598">
        <f t="shared" si="44"/>
        <v>45838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38</v>
      </c>
    </row>
    <row r="716" spans="1:8">
      <c r="A716" s="594" t="str">
        <f t="shared" si="42"/>
        <v>Индустриален холдинг България АД</v>
      </c>
      <c r="B716" s="594" t="str">
        <f t="shared" si="43"/>
        <v>121631219</v>
      </c>
      <c r="C716" s="598">
        <f t="shared" si="44"/>
        <v>45838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105</v>
      </c>
    </row>
    <row r="717" spans="1:8">
      <c r="A717" s="594" t="str">
        <f t="shared" ref="A717:A780" si="45">pdeName</f>
        <v>Индустриален холдинг България АД</v>
      </c>
      <c r="B717" s="594" t="str">
        <f t="shared" ref="B717:B780" si="46">pdeBulstat</f>
        <v>121631219</v>
      </c>
      <c r="C717" s="598">
        <f t="shared" ref="C717:C780" si="47">endDate</f>
        <v>45838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>Индустриален холдинг България АД</v>
      </c>
      <c r="B718" s="594" t="str">
        <f t="shared" si="46"/>
        <v>121631219</v>
      </c>
      <c r="C718" s="598">
        <f t="shared" si="47"/>
        <v>45838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>Индустриален холдинг България АД</v>
      </c>
      <c r="B719" s="594" t="str">
        <f t="shared" si="46"/>
        <v>121631219</v>
      </c>
      <c r="C719" s="598">
        <f t="shared" si="47"/>
        <v>45838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>Индустриален холдинг България АД</v>
      </c>
      <c r="B720" s="594" t="str">
        <f t="shared" si="46"/>
        <v>121631219</v>
      </c>
      <c r="C720" s="598">
        <f t="shared" si="47"/>
        <v>45838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>Индустриален холдинг България АД</v>
      </c>
      <c r="B721" s="594" t="str">
        <f t="shared" si="46"/>
        <v>121631219</v>
      </c>
      <c r="C721" s="598">
        <f t="shared" si="47"/>
        <v>45838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>Индустриален холдинг България АД</v>
      </c>
      <c r="B722" s="594" t="str">
        <f t="shared" si="46"/>
        <v>121631219</v>
      </c>
      <c r="C722" s="598">
        <f t="shared" si="47"/>
        <v>45838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>Индустриален холдинг България АД</v>
      </c>
      <c r="B723" s="594" t="str">
        <f t="shared" si="46"/>
        <v>121631219</v>
      </c>
      <c r="C723" s="598">
        <f t="shared" si="47"/>
        <v>45838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>Индустриален холдинг България АД</v>
      </c>
      <c r="B724" s="594" t="str">
        <f t="shared" si="46"/>
        <v>121631219</v>
      </c>
      <c r="C724" s="598">
        <f t="shared" si="47"/>
        <v>45838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>Индустриален холдинг България АД</v>
      </c>
      <c r="B725" s="594" t="str">
        <f t="shared" si="46"/>
        <v>121631219</v>
      </c>
      <c r="C725" s="598">
        <f t="shared" si="47"/>
        <v>45838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>Индустриален холдинг България АД</v>
      </c>
      <c r="B726" s="594" t="str">
        <f t="shared" si="46"/>
        <v>121631219</v>
      </c>
      <c r="C726" s="598">
        <f t="shared" si="47"/>
        <v>45838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>Индустриален холдинг България АД</v>
      </c>
      <c r="B727" s="594" t="str">
        <f t="shared" si="46"/>
        <v>121631219</v>
      </c>
      <c r="C727" s="598">
        <f t="shared" si="47"/>
        <v>45838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>Индустриален холдинг България АД</v>
      </c>
      <c r="B728" s="594" t="str">
        <f t="shared" si="46"/>
        <v>121631219</v>
      </c>
      <c r="C728" s="598">
        <f t="shared" si="47"/>
        <v>45838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>Индустриален холдинг България АД</v>
      </c>
      <c r="B729" s="594" t="str">
        <f t="shared" si="46"/>
        <v>121631219</v>
      </c>
      <c r="C729" s="598">
        <f t="shared" si="47"/>
        <v>45838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>Индустриален холдинг България АД</v>
      </c>
      <c r="B730" s="594" t="str">
        <f t="shared" si="46"/>
        <v>121631219</v>
      </c>
      <c r="C730" s="598">
        <f t="shared" si="47"/>
        <v>45838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6954</v>
      </c>
    </row>
    <row r="731" spans="1:8">
      <c r="A731" s="594" t="str">
        <f t="shared" si="45"/>
        <v>Индустриален холдинг България АД</v>
      </c>
      <c r="B731" s="594" t="str">
        <f t="shared" si="46"/>
        <v>121631219</v>
      </c>
      <c r="C731" s="598">
        <f t="shared" si="47"/>
        <v>45838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>Индустриален холдинг България АД</v>
      </c>
      <c r="B732" s="594" t="str">
        <f t="shared" si="46"/>
        <v>121631219</v>
      </c>
      <c r="C732" s="598">
        <f t="shared" si="47"/>
        <v>45838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0</v>
      </c>
    </row>
    <row r="733" spans="1:8">
      <c r="A733" s="594" t="str">
        <f t="shared" si="45"/>
        <v>Индустриален холдинг България АД</v>
      </c>
      <c r="B733" s="594" t="str">
        <f t="shared" si="46"/>
        <v>121631219</v>
      </c>
      <c r="C733" s="598">
        <f t="shared" si="47"/>
        <v>45838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51</v>
      </c>
    </row>
    <row r="734" spans="1:8">
      <c r="A734" s="594" t="str">
        <f t="shared" si="45"/>
        <v>Индустриален холдинг България АД</v>
      </c>
      <c r="B734" s="594" t="str">
        <f t="shared" si="46"/>
        <v>121631219</v>
      </c>
      <c r="C734" s="598">
        <f t="shared" si="47"/>
        <v>45838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137</v>
      </c>
    </row>
    <row r="735" spans="1:8">
      <c r="A735" s="594" t="str">
        <f t="shared" si="45"/>
        <v>Индустриален холдинг България АД</v>
      </c>
      <c r="B735" s="594" t="str">
        <f t="shared" si="46"/>
        <v>121631219</v>
      </c>
      <c r="C735" s="598">
        <f t="shared" si="47"/>
        <v>45838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791</v>
      </c>
    </row>
    <row r="736" spans="1:8">
      <c r="A736" s="594" t="str">
        <f t="shared" si="45"/>
        <v>Индустриален холдинг България АД</v>
      </c>
      <c r="B736" s="594" t="str">
        <f t="shared" si="46"/>
        <v>121631219</v>
      </c>
      <c r="C736" s="598">
        <f t="shared" si="47"/>
        <v>45838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0</v>
      </c>
    </row>
    <row r="737" spans="1:8">
      <c r="A737" s="594" t="str">
        <f t="shared" si="45"/>
        <v>Индустриален холдинг България АД</v>
      </c>
      <c r="B737" s="594" t="str">
        <f t="shared" si="46"/>
        <v>121631219</v>
      </c>
      <c r="C737" s="598">
        <f t="shared" si="47"/>
        <v>45838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>Индустриален холдинг България АД</v>
      </c>
      <c r="B738" s="594" t="str">
        <f t="shared" si="46"/>
        <v>121631219</v>
      </c>
      <c r="C738" s="598">
        <f t="shared" si="47"/>
        <v>45838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0</v>
      </c>
    </row>
    <row r="739" spans="1:8">
      <c r="A739" s="594" t="str">
        <f t="shared" si="45"/>
        <v>Индустриален холдинг България АД</v>
      </c>
      <c r="B739" s="594" t="str">
        <f t="shared" si="46"/>
        <v>121631219</v>
      </c>
      <c r="C739" s="598">
        <f t="shared" si="47"/>
        <v>45838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979</v>
      </c>
    </row>
    <row r="740" spans="1:8">
      <c r="A740" s="594" t="str">
        <f t="shared" si="45"/>
        <v>Индустриален холдинг България АД</v>
      </c>
      <c r="B740" s="594" t="str">
        <f t="shared" si="46"/>
        <v>121631219</v>
      </c>
      <c r="C740" s="598">
        <f t="shared" si="47"/>
        <v>45838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>Индустриален холдинг България АД</v>
      </c>
      <c r="B741" s="594" t="str">
        <f t="shared" si="46"/>
        <v>121631219</v>
      </c>
      <c r="C741" s="598">
        <f t="shared" si="47"/>
        <v>45838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>Индустриален холдинг България АД</v>
      </c>
      <c r="B742" s="594" t="str">
        <f t="shared" si="46"/>
        <v>121631219</v>
      </c>
      <c r="C742" s="598">
        <f t="shared" si="47"/>
        <v>45838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0</v>
      </c>
    </row>
    <row r="743" spans="1:8">
      <c r="A743" s="594" t="str">
        <f t="shared" si="45"/>
        <v>Индустриален холдинг България АД</v>
      </c>
      <c r="B743" s="594" t="str">
        <f t="shared" si="46"/>
        <v>121631219</v>
      </c>
      <c r="C743" s="598">
        <f t="shared" si="47"/>
        <v>45838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0</v>
      </c>
    </row>
    <row r="744" spans="1:8">
      <c r="A744" s="594" t="str">
        <f t="shared" si="45"/>
        <v>Индустриален холдинг България АД</v>
      </c>
      <c r="B744" s="594" t="str">
        <f t="shared" si="46"/>
        <v>121631219</v>
      </c>
      <c r="C744" s="598">
        <f t="shared" si="47"/>
        <v>45838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>Индустриален холдинг България АД</v>
      </c>
      <c r="B745" s="594" t="str">
        <f t="shared" si="46"/>
        <v>121631219</v>
      </c>
      <c r="C745" s="598">
        <f t="shared" si="47"/>
        <v>45838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0</v>
      </c>
    </row>
    <row r="746" spans="1:8">
      <c r="A746" s="594" t="str">
        <f t="shared" si="45"/>
        <v>Индустриален холдинг България АД</v>
      </c>
      <c r="B746" s="594" t="str">
        <f t="shared" si="46"/>
        <v>121631219</v>
      </c>
      <c r="C746" s="598">
        <f t="shared" si="47"/>
        <v>45838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0</v>
      </c>
    </row>
    <row r="747" spans="1:8">
      <c r="A747" s="594" t="str">
        <f t="shared" si="45"/>
        <v>Индустриален холдинг България АД</v>
      </c>
      <c r="B747" s="594" t="str">
        <f t="shared" si="46"/>
        <v>121631219</v>
      </c>
      <c r="C747" s="598">
        <f t="shared" si="47"/>
        <v>45838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>Индустриален холдинг България АД</v>
      </c>
      <c r="B748" s="594" t="str">
        <f t="shared" si="46"/>
        <v>121631219</v>
      </c>
      <c r="C748" s="598">
        <f t="shared" si="47"/>
        <v>45838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>Индустриален холдинг България АД</v>
      </c>
      <c r="B749" s="594" t="str">
        <f t="shared" si="46"/>
        <v>121631219</v>
      </c>
      <c r="C749" s="598">
        <f t="shared" si="47"/>
        <v>45838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>Индустриален холдинг България АД</v>
      </c>
      <c r="B750" s="594" t="str">
        <f t="shared" si="46"/>
        <v>121631219</v>
      </c>
      <c r="C750" s="598">
        <f t="shared" si="47"/>
        <v>45838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>Индустриален холдинг България АД</v>
      </c>
      <c r="B751" s="594" t="str">
        <f t="shared" si="46"/>
        <v>121631219</v>
      </c>
      <c r="C751" s="598">
        <f t="shared" si="47"/>
        <v>45838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>Индустриален холдинг България АД</v>
      </c>
      <c r="B752" s="594" t="str">
        <f t="shared" si="46"/>
        <v>121631219</v>
      </c>
      <c r="C752" s="598">
        <f t="shared" si="47"/>
        <v>45838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>Индустриален холдинг България АД</v>
      </c>
      <c r="B753" s="594" t="str">
        <f t="shared" si="46"/>
        <v>121631219</v>
      </c>
      <c r="C753" s="598">
        <f t="shared" si="47"/>
        <v>45838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>Индустриален холдинг България АД</v>
      </c>
      <c r="B754" s="594" t="str">
        <f t="shared" si="46"/>
        <v>121631219</v>
      </c>
      <c r="C754" s="598">
        <f t="shared" si="47"/>
        <v>45838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>Индустриален холдинг България АД</v>
      </c>
      <c r="B755" s="594" t="str">
        <f t="shared" si="46"/>
        <v>121631219</v>
      </c>
      <c r="C755" s="598">
        <f t="shared" si="47"/>
        <v>45838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>Индустриален холдинг България АД</v>
      </c>
      <c r="B756" s="594" t="str">
        <f t="shared" si="46"/>
        <v>121631219</v>
      </c>
      <c r="C756" s="598">
        <f t="shared" si="47"/>
        <v>45838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>Индустриален холдинг България АД</v>
      </c>
      <c r="B757" s="594" t="str">
        <f t="shared" si="46"/>
        <v>121631219</v>
      </c>
      <c r="C757" s="598">
        <f t="shared" si="47"/>
        <v>45838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>Индустриален холдинг България АД</v>
      </c>
      <c r="B758" s="594" t="str">
        <f t="shared" si="46"/>
        <v>121631219</v>
      </c>
      <c r="C758" s="598">
        <f t="shared" si="47"/>
        <v>45838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>Индустриален холдинг България АД</v>
      </c>
      <c r="B759" s="594" t="str">
        <f t="shared" si="46"/>
        <v>121631219</v>
      </c>
      <c r="C759" s="598">
        <f t="shared" si="47"/>
        <v>45838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>Индустриален холдинг България АД</v>
      </c>
      <c r="B760" s="594" t="str">
        <f t="shared" si="46"/>
        <v>121631219</v>
      </c>
      <c r="C760" s="598">
        <f t="shared" si="47"/>
        <v>45838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979</v>
      </c>
    </row>
    <row r="761" spans="1:8">
      <c r="A761" s="594" t="str">
        <f t="shared" si="45"/>
        <v>Индустриален холдинг България АД</v>
      </c>
      <c r="B761" s="594" t="str">
        <f t="shared" si="46"/>
        <v>121631219</v>
      </c>
      <c r="C761" s="598">
        <f t="shared" si="47"/>
        <v>45838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>Индустриален холдинг България АД</v>
      </c>
      <c r="B762" s="594" t="str">
        <f t="shared" si="46"/>
        <v>121631219</v>
      </c>
      <c r="C762" s="598">
        <f t="shared" si="47"/>
        <v>45838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1910</v>
      </c>
    </row>
    <row r="763" spans="1:8">
      <c r="A763" s="594" t="str">
        <f t="shared" si="45"/>
        <v>Индустриален холдинг България АД</v>
      </c>
      <c r="B763" s="594" t="str">
        <f t="shared" si="46"/>
        <v>121631219</v>
      </c>
      <c r="C763" s="598">
        <f t="shared" si="47"/>
        <v>45838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27814</v>
      </c>
    </row>
    <row r="764" spans="1:8">
      <c r="A764" s="594" t="str">
        <f t="shared" si="45"/>
        <v>Индустриален холдинг България АД</v>
      </c>
      <c r="B764" s="594" t="str">
        <f t="shared" si="46"/>
        <v>121631219</v>
      </c>
      <c r="C764" s="598">
        <f t="shared" si="47"/>
        <v>45838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13594</v>
      </c>
    </row>
    <row r="765" spans="1:8">
      <c r="A765" s="594" t="str">
        <f t="shared" si="45"/>
        <v>Индустриален холдинг България АД</v>
      </c>
      <c r="B765" s="594" t="str">
        <f t="shared" si="46"/>
        <v>121631219</v>
      </c>
      <c r="C765" s="598">
        <f t="shared" si="47"/>
        <v>45838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19204</v>
      </c>
    </row>
    <row r="766" spans="1:8">
      <c r="A766" s="594" t="str">
        <f t="shared" si="45"/>
        <v>Индустриален холдинг България АД</v>
      </c>
      <c r="B766" s="594" t="str">
        <f t="shared" si="46"/>
        <v>121631219</v>
      </c>
      <c r="C766" s="598">
        <f t="shared" si="47"/>
        <v>45838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1429</v>
      </c>
    </row>
    <row r="767" spans="1:8">
      <c r="A767" s="594" t="str">
        <f t="shared" si="45"/>
        <v>Индустриален холдинг България АД</v>
      </c>
      <c r="B767" s="594" t="str">
        <f t="shared" si="46"/>
        <v>121631219</v>
      </c>
      <c r="C767" s="598">
        <f t="shared" si="47"/>
        <v>45838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0</v>
      </c>
    </row>
    <row r="768" spans="1:8">
      <c r="A768" s="594" t="str">
        <f t="shared" si="45"/>
        <v>Индустриален холдинг България АД</v>
      </c>
      <c r="B768" s="594" t="str">
        <f t="shared" si="46"/>
        <v>121631219</v>
      </c>
      <c r="C768" s="598">
        <f t="shared" si="47"/>
        <v>45838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1901</v>
      </c>
    </row>
    <row r="769" spans="1:8">
      <c r="A769" s="594" t="str">
        <f t="shared" si="45"/>
        <v>Индустриален холдинг България АД</v>
      </c>
      <c r="B769" s="594" t="str">
        <f t="shared" si="46"/>
        <v>121631219</v>
      </c>
      <c r="C769" s="598">
        <f t="shared" si="47"/>
        <v>45838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65852</v>
      </c>
    </row>
    <row r="770" spans="1:8">
      <c r="A770" s="594" t="str">
        <f t="shared" si="45"/>
        <v>Индустриален холдинг България АД</v>
      </c>
      <c r="B770" s="594" t="str">
        <f t="shared" si="46"/>
        <v>121631219</v>
      </c>
      <c r="C770" s="598">
        <f t="shared" si="47"/>
        <v>45838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>Индустриален холдинг България АД</v>
      </c>
      <c r="B771" s="594" t="str">
        <f t="shared" si="46"/>
        <v>121631219</v>
      </c>
      <c r="C771" s="598">
        <f t="shared" si="47"/>
        <v>45838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0</v>
      </c>
    </row>
    <row r="772" spans="1:8">
      <c r="A772" s="594" t="str">
        <f t="shared" si="45"/>
        <v>Индустриален холдинг България АД</v>
      </c>
      <c r="B772" s="594" t="str">
        <f t="shared" si="46"/>
        <v>121631219</v>
      </c>
      <c r="C772" s="598">
        <f t="shared" si="47"/>
        <v>45838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4094</v>
      </c>
    </row>
    <row r="773" spans="1:8">
      <c r="A773" s="594" t="str">
        <f t="shared" si="45"/>
        <v>Индустриален холдинг България АД</v>
      </c>
      <c r="B773" s="594" t="str">
        <f t="shared" si="46"/>
        <v>121631219</v>
      </c>
      <c r="C773" s="598">
        <f t="shared" si="47"/>
        <v>45838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1621</v>
      </c>
    </row>
    <row r="774" spans="1:8">
      <c r="A774" s="594" t="str">
        <f t="shared" si="45"/>
        <v>Индустриален холдинг България АД</v>
      </c>
      <c r="B774" s="594" t="str">
        <f t="shared" si="46"/>
        <v>121631219</v>
      </c>
      <c r="C774" s="598">
        <f t="shared" si="47"/>
        <v>45838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23</v>
      </c>
    </row>
    <row r="775" spans="1:8">
      <c r="A775" s="594" t="str">
        <f t="shared" si="45"/>
        <v>Индустриален холдинг България АД</v>
      </c>
      <c r="B775" s="594" t="str">
        <f t="shared" si="46"/>
        <v>121631219</v>
      </c>
      <c r="C775" s="598">
        <f t="shared" si="47"/>
        <v>45838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764</v>
      </c>
    </row>
    <row r="776" spans="1:8">
      <c r="A776" s="594" t="str">
        <f t="shared" si="45"/>
        <v>Индустриален холдинг България АД</v>
      </c>
      <c r="B776" s="594" t="str">
        <f t="shared" si="46"/>
        <v>121631219</v>
      </c>
      <c r="C776" s="598">
        <f t="shared" si="47"/>
        <v>45838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6502</v>
      </c>
    </row>
    <row r="777" spans="1:8">
      <c r="A777" s="594" t="str">
        <f t="shared" si="45"/>
        <v>Индустриален холдинг България АД</v>
      </c>
      <c r="B777" s="594" t="str">
        <f t="shared" si="46"/>
        <v>121631219</v>
      </c>
      <c r="C777" s="598">
        <f t="shared" si="47"/>
        <v>45838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>Индустриален холдинг България АД</v>
      </c>
      <c r="B778" s="594" t="str">
        <f t="shared" si="46"/>
        <v>121631219</v>
      </c>
      <c r="C778" s="598">
        <f t="shared" si="47"/>
        <v>45838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>Индустриален холдинг България АД</v>
      </c>
      <c r="B779" s="594" t="str">
        <f t="shared" si="46"/>
        <v>121631219</v>
      </c>
      <c r="C779" s="598">
        <f t="shared" si="47"/>
        <v>45838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>Индустриален холдинг България АД</v>
      </c>
      <c r="B780" s="594" t="str">
        <f t="shared" si="46"/>
        <v>121631219</v>
      </c>
      <c r="C780" s="598">
        <f t="shared" si="47"/>
        <v>45838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>Индустриален холдинг България АД</v>
      </c>
      <c r="B781" s="594" t="str">
        <f t="shared" ref="B781:B844" si="49">pdeBulstat</f>
        <v>121631219</v>
      </c>
      <c r="C781" s="598">
        <f t="shared" ref="C781:C844" si="50">endDate</f>
        <v>45838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>Индустриален холдинг България АД</v>
      </c>
      <c r="B782" s="594" t="str">
        <f t="shared" si="49"/>
        <v>121631219</v>
      </c>
      <c r="C782" s="598">
        <f t="shared" si="50"/>
        <v>45838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>Индустриален холдинг България АД</v>
      </c>
      <c r="B783" s="594" t="str">
        <f t="shared" si="49"/>
        <v>121631219</v>
      </c>
      <c r="C783" s="598">
        <f t="shared" si="50"/>
        <v>45838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>Индустриален холдинг България АД</v>
      </c>
      <c r="B784" s="594" t="str">
        <f t="shared" si="49"/>
        <v>121631219</v>
      </c>
      <c r="C784" s="598">
        <f t="shared" si="50"/>
        <v>45838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>Индустриален холдинг България АД</v>
      </c>
      <c r="B785" s="594" t="str">
        <f t="shared" si="49"/>
        <v>121631219</v>
      </c>
      <c r="C785" s="598">
        <f t="shared" si="50"/>
        <v>45838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>Индустриален холдинг България АД</v>
      </c>
      <c r="B786" s="594" t="str">
        <f t="shared" si="49"/>
        <v>121631219</v>
      </c>
      <c r="C786" s="598">
        <f t="shared" si="50"/>
        <v>45838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>Индустриален холдинг България АД</v>
      </c>
      <c r="B787" s="594" t="str">
        <f t="shared" si="49"/>
        <v>121631219</v>
      </c>
      <c r="C787" s="598">
        <f t="shared" si="50"/>
        <v>45838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>Индустриален холдинг България АД</v>
      </c>
      <c r="B788" s="594" t="str">
        <f t="shared" si="49"/>
        <v>121631219</v>
      </c>
      <c r="C788" s="598">
        <f t="shared" si="50"/>
        <v>45838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>Индустриален холдинг България АД</v>
      </c>
      <c r="B789" s="594" t="str">
        <f t="shared" si="49"/>
        <v>121631219</v>
      </c>
      <c r="C789" s="598">
        <f t="shared" si="50"/>
        <v>45838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0</v>
      </c>
    </row>
    <row r="790" spans="1:8">
      <c r="A790" s="594" t="str">
        <f t="shared" si="48"/>
        <v>Индустриален холдинг България АД</v>
      </c>
      <c r="B790" s="594" t="str">
        <f t="shared" si="49"/>
        <v>121631219</v>
      </c>
      <c r="C790" s="598">
        <f t="shared" si="50"/>
        <v>45838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72354</v>
      </c>
    </row>
    <row r="791" spans="1:8">
      <c r="A791" s="594" t="str">
        <f t="shared" si="48"/>
        <v>Индустриален холдинг България АД</v>
      </c>
      <c r="B791" s="594" t="str">
        <f t="shared" si="49"/>
        <v>121631219</v>
      </c>
      <c r="C791" s="598">
        <f t="shared" si="50"/>
        <v>45838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>Индустриален холдинг България АД</v>
      </c>
      <c r="B792" s="594" t="str">
        <f t="shared" si="49"/>
        <v>121631219</v>
      </c>
      <c r="C792" s="598">
        <f t="shared" si="50"/>
        <v>45838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>Индустриален холдинг България АД</v>
      </c>
      <c r="B793" s="594" t="str">
        <f t="shared" si="49"/>
        <v>121631219</v>
      </c>
      <c r="C793" s="598">
        <f t="shared" si="50"/>
        <v>45838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>Индустриален холдинг България АД</v>
      </c>
      <c r="B794" s="594" t="str">
        <f t="shared" si="49"/>
        <v>121631219</v>
      </c>
      <c r="C794" s="598">
        <f t="shared" si="50"/>
        <v>45838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>Индустриален холдинг България АД</v>
      </c>
      <c r="B795" s="594" t="str">
        <f t="shared" si="49"/>
        <v>121631219</v>
      </c>
      <c r="C795" s="598">
        <f t="shared" si="50"/>
        <v>45838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>Индустриален холдинг България АД</v>
      </c>
      <c r="B796" s="594" t="str">
        <f t="shared" si="49"/>
        <v>121631219</v>
      </c>
      <c r="C796" s="598">
        <f t="shared" si="50"/>
        <v>45838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>Индустриален холдинг България АД</v>
      </c>
      <c r="B797" s="594" t="str">
        <f t="shared" si="49"/>
        <v>121631219</v>
      </c>
      <c r="C797" s="598">
        <f t="shared" si="50"/>
        <v>45838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>Индустриален холдинг България АД</v>
      </c>
      <c r="B798" s="594" t="str">
        <f t="shared" si="49"/>
        <v>121631219</v>
      </c>
      <c r="C798" s="598">
        <f t="shared" si="50"/>
        <v>45838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>Индустриален холдинг България АД</v>
      </c>
      <c r="B799" s="594" t="str">
        <f t="shared" si="49"/>
        <v>121631219</v>
      </c>
      <c r="C799" s="598">
        <f t="shared" si="50"/>
        <v>45838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>Индустриален холдинг България АД</v>
      </c>
      <c r="B800" s="594" t="str">
        <f t="shared" si="49"/>
        <v>121631219</v>
      </c>
      <c r="C800" s="598">
        <f t="shared" si="50"/>
        <v>45838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>Индустриален холдинг България АД</v>
      </c>
      <c r="B801" s="594" t="str">
        <f t="shared" si="49"/>
        <v>121631219</v>
      </c>
      <c r="C801" s="598">
        <f t="shared" si="50"/>
        <v>45838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>Индустриален холдинг България АД</v>
      </c>
      <c r="B802" s="594" t="str">
        <f t="shared" si="49"/>
        <v>121631219</v>
      </c>
      <c r="C802" s="598">
        <f t="shared" si="50"/>
        <v>45838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>Индустриален холдинг България АД</v>
      </c>
      <c r="B803" s="594" t="str">
        <f t="shared" si="49"/>
        <v>121631219</v>
      </c>
      <c r="C803" s="598">
        <f t="shared" si="50"/>
        <v>45838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>Индустриален холдинг България АД</v>
      </c>
      <c r="B804" s="594" t="str">
        <f t="shared" si="49"/>
        <v>121631219</v>
      </c>
      <c r="C804" s="598">
        <f t="shared" si="50"/>
        <v>45838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>Индустриален холдинг България АД</v>
      </c>
      <c r="B805" s="594" t="str">
        <f t="shared" si="49"/>
        <v>121631219</v>
      </c>
      <c r="C805" s="598">
        <f t="shared" si="50"/>
        <v>45838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>Индустриален холдинг България АД</v>
      </c>
      <c r="B806" s="594" t="str">
        <f t="shared" si="49"/>
        <v>121631219</v>
      </c>
      <c r="C806" s="598">
        <f t="shared" si="50"/>
        <v>45838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>Индустриален холдинг България АД</v>
      </c>
      <c r="B807" s="594" t="str">
        <f t="shared" si="49"/>
        <v>121631219</v>
      </c>
      <c r="C807" s="598">
        <f t="shared" si="50"/>
        <v>45838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>Индустриален холдинг България АД</v>
      </c>
      <c r="B808" s="594" t="str">
        <f t="shared" si="49"/>
        <v>121631219</v>
      </c>
      <c r="C808" s="598">
        <f t="shared" si="50"/>
        <v>45838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>Индустриален холдинг България АД</v>
      </c>
      <c r="B809" s="594" t="str">
        <f t="shared" si="49"/>
        <v>121631219</v>
      </c>
      <c r="C809" s="598">
        <f t="shared" si="50"/>
        <v>45838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>Индустриален холдинг България АД</v>
      </c>
      <c r="B810" s="594" t="str">
        <f t="shared" si="49"/>
        <v>121631219</v>
      </c>
      <c r="C810" s="598">
        <f t="shared" si="50"/>
        <v>45838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>Индустриален холдинг България АД</v>
      </c>
      <c r="B811" s="594" t="str">
        <f t="shared" si="49"/>
        <v>121631219</v>
      </c>
      <c r="C811" s="598">
        <f t="shared" si="50"/>
        <v>45838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>Индустриален холдинг България АД</v>
      </c>
      <c r="B812" s="594" t="str">
        <f t="shared" si="49"/>
        <v>121631219</v>
      </c>
      <c r="C812" s="598">
        <f t="shared" si="50"/>
        <v>45838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>Индустриален холдинг България АД</v>
      </c>
      <c r="B813" s="594" t="str">
        <f t="shared" si="49"/>
        <v>121631219</v>
      </c>
      <c r="C813" s="598">
        <f t="shared" si="50"/>
        <v>45838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>Индустриален холдинг България АД</v>
      </c>
      <c r="B814" s="594" t="str">
        <f t="shared" si="49"/>
        <v>121631219</v>
      </c>
      <c r="C814" s="598">
        <f t="shared" si="50"/>
        <v>45838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>Индустриален холдинг България АД</v>
      </c>
      <c r="B815" s="594" t="str">
        <f t="shared" si="49"/>
        <v>121631219</v>
      </c>
      <c r="C815" s="598">
        <f t="shared" si="50"/>
        <v>45838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>Индустриален холдинг България АД</v>
      </c>
      <c r="B816" s="594" t="str">
        <f t="shared" si="49"/>
        <v>121631219</v>
      </c>
      <c r="C816" s="598">
        <f t="shared" si="50"/>
        <v>45838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>Индустриален холдинг България АД</v>
      </c>
      <c r="B817" s="594" t="str">
        <f t="shared" si="49"/>
        <v>121631219</v>
      </c>
      <c r="C817" s="598">
        <f t="shared" si="50"/>
        <v>45838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>Индустриален холдинг България АД</v>
      </c>
      <c r="B818" s="594" t="str">
        <f t="shared" si="49"/>
        <v>121631219</v>
      </c>
      <c r="C818" s="598">
        <f t="shared" si="50"/>
        <v>45838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>Индустриален холдинг България АД</v>
      </c>
      <c r="B819" s="594" t="str">
        <f t="shared" si="49"/>
        <v>121631219</v>
      </c>
      <c r="C819" s="598">
        <f t="shared" si="50"/>
        <v>45838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>Индустриален холдинг България АД</v>
      </c>
      <c r="B820" s="594" t="str">
        <f t="shared" si="49"/>
        <v>121631219</v>
      </c>
      <c r="C820" s="598">
        <f t="shared" si="50"/>
        <v>45838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>Индустриален холдинг България АД</v>
      </c>
      <c r="B821" s="594" t="str">
        <f t="shared" si="49"/>
        <v>121631219</v>
      </c>
      <c r="C821" s="598">
        <f t="shared" si="50"/>
        <v>45838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>Индустриален холдинг България АД</v>
      </c>
      <c r="B822" s="594" t="str">
        <f t="shared" si="49"/>
        <v>121631219</v>
      </c>
      <c r="C822" s="598">
        <f t="shared" si="50"/>
        <v>45838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0</v>
      </c>
    </row>
    <row r="823" spans="1:8">
      <c r="A823" s="594" t="str">
        <f t="shared" si="48"/>
        <v>Индустриален холдинг България АД</v>
      </c>
      <c r="B823" s="594" t="str">
        <f t="shared" si="49"/>
        <v>121631219</v>
      </c>
      <c r="C823" s="598">
        <f t="shared" si="50"/>
        <v>45838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>Индустриален холдинг България АД</v>
      </c>
      <c r="B824" s="594" t="str">
        <f t="shared" si="49"/>
        <v>121631219</v>
      </c>
      <c r="C824" s="598">
        <f t="shared" si="50"/>
        <v>45838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11</v>
      </c>
    </row>
    <row r="825" spans="1:8">
      <c r="A825" s="594" t="str">
        <f t="shared" si="48"/>
        <v>Индустриален холдинг България АД</v>
      </c>
      <c r="B825" s="594" t="str">
        <f t="shared" si="49"/>
        <v>121631219</v>
      </c>
      <c r="C825" s="598">
        <f t="shared" si="50"/>
        <v>45838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1468</v>
      </c>
    </row>
    <row r="826" spans="1:8">
      <c r="A826" s="594" t="str">
        <f t="shared" si="48"/>
        <v>Индустриален холдинг България АД</v>
      </c>
      <c r="B826" s="594" t="str">
        <f t="shared" si="49"/>
        <v>121631219</v>
      </c>
      <c r="C826" s="598">
        <f t="shared" si="50"/>
        <v>45838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>Индустриален холдинг България АД</v>
      </c>
      <c r="B827" s="594" t="str">
        <f t="shared" si="49"/>
        <v>121631219</v>
      </c>
      <c r="C827" s="598">
        <f t="shared" si="50"/>
        <v>45838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>Индустриален холдинг България АД</v>
      </c>
      <c r="B828" s="594" t="str">
        <f t="shared" si="49"/>
        <v>121631219</v>
      </c>
      <c r="C828" s="598">
        <f t="shared" si="50"/>
        <v>45838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>Индустриален холдинг България АД</v>
      </c>
      <c r="B829" s="594" t="str">
        <f t="shared" si="49"/>
        <v>121631219</v>
      </c>
      <c r="C829" s="598">
        <f t="shared" si="50"/>
        <v>45838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1479</v>
      </c>
    </row>
    <row r="830" spans="1:8">
      <c r="A830" s="594" t="str">
        <f t="shared" si="48"/>
        <v>Индустриален холдинг България АД</v>
      </c>
      <c r="B830" s="594" t="str">
        <f t="shared" si="49"/>
        <v>121631219</v>
      </c>
      <c r="C830" s="598">
        <f t="shared" si="50"/>
        <v>45838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>Индустриален холдинг България АД</v>
      </c>
      <c r="B831" s="594" t="str">
        <f t="shared" si="49"/>
        <v>121631219</v>
      </c>
      <c r="C831" s="598">
        <f t="shared" si="50"/>
        <v>45838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>Индустриален холдинг България АД</v>
      </c>
      <c r="B832" s="594" t="str">
        <f t="shared" si="49"/>
        <v>121631219</v>
      </c>
      <c r="C832" s="598">
        <f t="shared" si="50"/>
        <v>45838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5</v>
      </c>
    </row>
    <row r="833" spans="1:8">
      <c r="A833" s="594" t="str">
        <f t="shared" si="48"/>
        <v>Индустриален холдинг България АД</v>
      </c>
      <c r="B833" s="594" t="str">
        <f t="shared" si="49"/>
        <v>121631219</v>
      </c>
      <c r="C833" s="598">
        <f t="shared" si="50"/>
        <v>45838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>Индустриален холдинг България АД</v>
      </c>
      <c r="B834" s="594" t="str">
        <f t="shared" si="49"/>
        <v>121631219</v>
      </c>
      <c r="C834" s="598">
        <f t="shared" si="50"/>
        <v>45838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>Индустриален холдинг България АД</v>
      </c>
      <c r="B835" s="594" t="str">
        <f t="shared" si="49"/>
        <v>121631219</v>
      </c>
      <c r="C835" s="598">
        <f t="shared" si="50"/>
        <v>45838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7</v>
      </c>
    </row>
    <row r="836" spans="1:8">
      <c r="A836" s="594" t="str">
        <f t="shared" si="48"/>
        <v>Индустриален холдинг България АД</v>
      </c>
      <c r="B836" s="594" t="str">
        <f t="shared" si="49"/>
        <v>121631219</v>
      </c>
      <c r="C836" s="598">
        <f t="shared" si="50"/>
        <v>45838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12</v>
      </c>
    </row>
    <row r="837" spans="1:8">
      <c r="A837" s="594" t="str">
        <f t="shared" si="48"/>
        <v>Индустриален холдинг България АД</v>
      </c>
      <c r="B837" s="594" t="str">
        <f t="shared" si="49"/>
        <v>121631219</v>
      </c>
      <c r="C837" s="598">
        <f t="shared" si="50"/>
        <v>45838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>Индустриален холдинг България АД</v>
      </c>
      <c r="B838" s="594" t="str">
        <f t="shared" si="49"/>
        <v>121631219</v>
      </c>
      <c r="C838" s="598">
        <f t="shared" si="50"/>
        <v>45838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>Индустриален холдинг България АД</v>
      </c>
      <c r="B839" s="594" t="str">
        <f t="shared" si="49"/>
        <v>121631219</v>
      </c>
      <c r="C839" s="598">
        <f t="shared" si="50"/>
        <v>45838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>Индустриален холдинг България АД</v>
      </c>
      <c r="B840" s="594" t="str">
        <f t="shared" si="49"/>
        <v>121631219</v>
      </c>
      <c r="C840" s="598">
        <f t="shared" si="50"/>
        <v>45838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>Индустриален холдинг България АД</v>
      </c>
      <c r="B841" s="594" t="str">
        <f t="shared" si="49"/>
        <v>121631219</v>
      </c>
      <c r="C841" s="598">
        <f t="shared" si="50"/>
        <v>45838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>Индустриален холдинг България АД</v>
      </c>
      <c r="B842" s="594" t="str">
        <f t="shared" si="49"/>
        <v>121631219</v>
      </c>
      <c r="C842" s="598">
        <f t="shared" si="50"/>
        <v>45838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>Индустриален холдинг България АД</v>
      </c>
      <c r="B843" s="594" t="str">
        <f t="shared" si="49"/>
        <v>121631219</v>
      </c>
      <c r="C843" s="598">
        <f t="shared" si="50"/>
        <v>45838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>Индустриален холдинг България АД</v>
      </c>
      <c r="B844" s="594" t="str">
        <f t="shared" si="49"/>
        <v>121631219</v>
      </c>
      <c r="C844" s="598">
        <f t="shared" si="50"/>
        <v>45838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>Индустриален холдинг България АД</v>
      </c>
      <c r="B845" s="594" t="str">
        <f t="shared" ref="B845:B910" si="52">pdeBulstat</f>
        <v>121631219</v>
      </c>
      <c r="C845" s="598">
        <f t="shared" ref="C845:C910" si="53">endDate</f>
        <v>45838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>Индустриален холдинг България АД</v>
      </c>
      <c r="B846" s="594" t="str">
        <f t="shared" si="52"/>
        <v>121631219</v>
      </c>
      <c r="C846" s="598">
        <f t="shared" si="53"/>
        <v>45838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>Индустриален холдинг България АД</v>
      </c>
      <c r="B847" s="594" t="str">
        <f t="shared" si="52"/>
        <v>121631219</v>
      </c>
      <c r="C847" s="598">
        <f t="shared" si="53"/>
        <v>45838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>Индустриален холдинг България АД</v>
      </c>
      <c r="B848" s="594" t="str">
        <f t="shared" si="52"/>
        <v>121631219</v>
      </c>
      <c r="C848" s="598">
        <f t="shared" si="53"/>
        <v>45838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>Индустриален холдинг България АД</v>
      </c>
      <c r="B849" s="594" t="str">
        <f t="shared" si="52"/>
        <v>121631219</v>
      </c>
      <c r="C849" s="598">
        <f t="shared" si="53"/>
        <v>45838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>Индустриален холдинг България АД</v>
      </c>
      <c r="B850" s="594" t="str">
        <f t="shared" si="52"/>
        <v>121631219</v>
      </c>
      <c r="C850" s="598">
        <f t="shared" si="53"/>
        <v>45838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1491</v>
      </c>
    </row>
    <row r="851" spans="1:8">
      <c r="A851" s="594" t="str">
        <f t="shared" si="51"/>
        <v>Индустриален холдинг България АД</v>
      </c>
      <c r="B851" s="594" t="str">
        <f t="shared" si="52"/>
        <v>121631219</v>
      </c>
      <c r="C851" s="598">
        <f t="shared" si="53"/>
        <v>45838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>Индустриален холдинг България АД</v>
      </c>
      <c r="B852" s="594" t="str">
        <f t="shared" si="52"/>
        <v>121631219</v>
      </c>
      <c r="C852" s="598">
        <f t="shared" si="53"/>
        <v>45838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1910</v>
      </c>
    </row>
    <row r="853" spans="1:8">
      <c r="A853" s="594" t="str">
        <f t="shared" si="51"/>
        <v>Индустриален холдинг България АД</v>
      </c>
      <c r="B853" s="594" t="str">
        <f t="shared" si="52"/>
        <v>121631219</v>
      </c>
      <c r="C853" s="598">
        <f t="shared" si="53"/>
        <v>45838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27814</v>
      </c>
    </row>
    <row r="854" spans="1:8">
      <c r="A854" s="594" t="str">
        <f t="shared" si="51"/>
        <v>Индустриален холдинг България АД</v>
      </c>
      <c r="B854" s="594" t="str">
        <f t="shared" si="52"/>
        <v>121631219</v>
      </c>
      <c r="C854" s="598">
        <f t="shared" si="53"/>
        <v>45838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13583</v>
      </c>
    </row>
    <row r="855" spans="1:8">
      <c r="A855" s="594" t="str">
        <f t="shared" si="51"/>
        <v>Индустриален холдинг България АД</v>
      </c>
      <c r="B855" s="594" t="str">
        <f t="shared" si="52"/>
        <v>121631219</v>
      </c>
      <c r="C855" s="598">
        <f t="shared" si="53"/>
        <v>45838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17736</v>
      </c>
    </row>
    <row r="856" spans="1:8">
      <c r="A856" s="594" t="str">
        <f t="shared" si="51"/>
        <v>Индустриален холдинг България АД</v>
      </c>
      <c r="B856" s="594" t="str">
        <f t="shared" si="52"/>
        <v>121631219</v>
      </c>
      <c r="C856" s="598">
        <f t="shared" si="53"/>
        <v>45838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1429</v>
      </c>
    </row>
    <row r="857" spans="1:8">
      <c r="A857" s="594" t="str">
        <f t="shared" si="51"/>
        <v>Индустриален холдинг България АД</v>
      </c>
      <c r="B857" s="594" t="str">
        <f t="shared" si="52"/>
        <v>121631219</v>
      </c>
      <c r="C857" s="598">
        <f t="shared" si="53"/>
        <v>45838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0</v>
      </c>
    </row>
    <row r="858" spans="1:8">
      <c r="A858" s="594" t="str">
        <f t="shared" si="51"/>
        <v>Индустриален холдинг България АД</v>
      </c>
      <c r="B858" s="594" t="str">
        <f t="shared" si="52"/>
        <v>121631219</v>
      </c>
      <c r="C858" s="598">
        <f t="shared" si="53"/>
        <v>45838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1901</v>
      </c>
    </row>
    <row r="859" spans="1:8">
      <c r="A859" s="594" t="str">
        <f t="shared" si="51"/>
        <v>Индустриален холдинг България АД</v>
      </c>
      <c r="B859" s="594" t="str">
        <f t="shared" si="52"/>
        <v>121631219</v>
      </c>
      <c r="C859" s="598">
        <f t="shared" si="53"/>
        <v>45838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64373</v>
      </c>
    </row>
    <row r="860" spans="1:8">
      <c r="A860" s="594" t="str">
        <f t="shared" si="51"/>
        <v>Индустриален холдинг България АД</v>
      </c>
      <c r="B860" s="594" t="str">
        <f t="shared" si="52"/>
        <v>121631219</v>
      </c>
      <c r="C860" s="598">
        <f t="shared" si="53"/>
        <v>45838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>Индустриален холдинг България АД</v>
      </c>
      <c r="B861" s="594" t="str">
        <f t="shared" si="52"/>
        <v>121631219</v>
      </c>
      <c r="C861" s="598">
        <f t="shared" si="53"/>
        <v>45838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0</v>
      </c>
    </row>
    <row r="862" spans="1:8">
      <c r="A862" s="594" t="str">
        <f t="shared" si="51"/>
        <v>Индустриален холдинг България АД</v>
      </c>
      <c r="B862" s="594" t="str">
        <f t="shared" si="52"/>
        <v>121631219</v>
      </c>
      <c r="C862" s="598">
        <f t="shared" si="53"/>
        <v>45838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4089</v>
      </c>
    </row>
    <row r="863" spans="1:8">
      <c r="A863" s="594" t="str">
        <f t="shared" si="51"/>
        <v>Индустриален холдинг България АД</v>
      </c>
      <c r="B863" s="594" t="str">
        <f t="shared" si="52"/>
        <v>121631219</v>
      </c>
      <c r="C863" s="598">
        <f t="shared" si="53"/>
        <v>45838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1621</v>
      </c>
    </row>
    <row r="864" spans="1:8">
      <c r="A864" s="594" t="str">
        <f t="shared" si="51"/>
        <v>Индустриален холдинг България АД</v>
      </c>
      <c r="B864" s="594" t="str">
        <f t="shared" si="52"/>
        <v>121631219</v>
      </c>
      <c r="C864" s="598">
        <f t="shared" si="53"/>
        <v>45838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23</v>
      </c>
    </row>
    <row r="865" spans="1:8">
      <c r="A865" s="594" t="str">
        <f t="shared" si="51"/>
        <v>Индустриален холдинг България АД</v>
      </c>
      <c r="B865" s="594" t="str">
        <f t="shared" si="52"/>
        <v>121631219</v>
      </c>
      <c r="C865" s="598">
        <f t="shared" si="53"/>
        <v>45838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757</v>
      </c>
    </row>
    <row r="866" spans="1:8">
      <c r="A866" s="594" t="str">
        <f t="shared" si="51"/>
        <v>Индустриален холдинг България АД</v>
      </c>
      <c r="B866" s="594" t="str">
        <f t="shared" si="52"/>
        <v>121631219</v>
      </c>
      <c r="C866" s="598">
        <f t="shared" si="53"/>
        <v>45838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6490</v>
      </c>
    </row>
    <row r="867" spans="1:8">
      <c r="A867" s="594" t="str">
        <f t="shared" si="51"/>
        <v>Индустриален холдинг България АД</v>
      </c>
      <c r="B867" s="594" t="str">
        <f t="shared" si="52"/>
        <v>121631219</v>
      </c>
      <c r="C867" s="598">
        <f t="shared" si="53"/>
        <v>45838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>Индустриален холдинг България АД</v>
      </c>
      <c r="B868" s="594" t="str">
        <f t="shared" si="52"/>
        <v>121631219</v>
      </c>
      <c r="C868" s="598">
        <f t="shared" si="53"/>
        <v>45838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>Индустриален холдинг България АД</v>
      </c>
      <c r="B869" s="594" t="str">
        <f t="shared" si="52"/>
        <v>121631219</v>
      </c>
      <c r="C869" s="598">
        <f t="shared" si="53"/>
        <v>45838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>Индустриален холдинг България АД</v>
      </c>
      <c r="B870" s="594" t="str">
        <f t="shared" si="52"/>
        <v>121631219</v>
      </c>
      <c r="C870" s="598">
        <f t="shared" si="53"/>
        <v>45838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>Индустриален холдинг България АД</v>
      </c>
      <c r="B871" s="594" t="str">
        <f t="shared" si="52"/>
        <v>121631219</v>
      </c>
      <c r="C871" s="598">
        <f t="shared" si="53"/>
        <v>45838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>Индустриален холдинг България АД</v>
      </c>
      <c r="B872" s="594" t="str">
        <f t="shared" si="52"/>
        <v>121631219</v>
      </c>
      <c r="C872" s="598">
        <f t="shared" si="53"/>
        <v>45838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>Индустриален холдинг България АД</v>
      </c>
      <c r="B873" s="594" t="str">
        <f t="shared" si="52"/>
        <v>121631219</v>
      </c>
      <c r="C873" s="598">
        <f t="shared" si="53"/>
        <v>45838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>Индустриален холдинг България АД</v>
      </c>
      <c r="B874" s="594" t="str">
        <f t="shared" si="52"/>
        <v>121631219</v>
      </c>
      <c r="C874" s="598">
        <f t="shared" si="53"/>
        <v>45838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>Индустриален холдинг България АД</v>
      </c>
      <c r="B875" s="594" t="str">
        <f t="shared" si="52"/>
        <v>121631219</v>
      </c>
      <c r="C875" s="598">
        <f t="shared" si="53"/>
        <v>45838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>Индустриален холдинг България АД</v>
      </c>
      <c r="B876" s="594" t="str">
        <f t="shared" si="52"/>
        <v>121631219</v>
      </c>
      <c r="C876" s="598">
        <f t="shared" si="53"/>
        <v>45838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>Индустриален холдинг България АД</v>
      </c>
      <c r="B877" s="594" t="str">
        <f t="shared" si="52"/>
        <v>121631219</v>
      </c>
      <c r="C877" s="598">
        <f t="shared" si="53"/>
        <v>45838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>Индустриален холдинг България АД</v>
      </c>
      <c r="B878" s="594" t="str">
        <f t="shared" si="52"/>
        <v>121631219</v>
      </c>
      <c r="C878" s="598">
        <f t="shared" si="53"/>
        <v>45838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>Индустриален холдинг България АД</v>
      </c>
      <c r="B879" s="594" t="str">
        <f t="shared" si="52"/>
        <v>121631219</v>
      </c>
      <c r="C879" s="598">
        <f t="shared" si="53"/>
        <v>45838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0</v>
      </c>
    </row>
    <row r="880" spans="1:8">
      <c r="A880" s="594" t="str">
        <f t="shared" si="51"/>
        <v>Индустриален холдинг България АД</v>
      </c>
      <c r="B880" s="594" t="str">
        <f t="shared" si="52"/>
        <v>121631219</v>
      </c>
      <c r="C880" s="598">
        <f t="shared" si="53"/>
        <v>45838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70863</v>
      </c>
    </row>
    <row r="881" spans="1:8">
      <c r="A881" s="594" t="str">
        <f t="shared" si="51"/>
        <v>Индустриален холдинг България АД</v>
      </c>
      <c r="B881" s="594" t="str">
        <f t="shared" si="52"/>
        <v>121631219</v>
      </c>
      <c r="C881" s="598">
        <f t="shared" si="53"/>
        <v>45838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110333</v>
      </c>
    </row>
    <row r="882" spans="1:8">
      <c r="A882" s="594" t="str">
        <f t="shared" si="51"/>
        <v>Индустриален холдинг България АД</v>
      </c>
      <c r="B882" s="594" t="str">
        <f t="shared" si="52"/>
        <v>121631219</v>
      </c>
      <c r="C882" s="598">
        <f t="shared" si="53"/>
        <v>45838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36743</v>
      </c>
    </row>
    <row r="883" spans="1:8">
      <c r="A883" s="594" t="str">
        <f t="shared" si="51"/>
        <v>Индустриален холдинг България АД</v>
      </c>
      <c r="B883" s="594" t="str">
        <f t="shared" si="52"/>
        <v>121631219</v>
      </c>
      <c r="C883" s="598">
        <f t="shared" si="53"/>
        <v>45838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23368</v>
      </c>
    </row>
    <row r="884" spans="1:8">
      <c r="A884" s="594" t="str">
        <f t="shared" si="51"/>
        <v>Индустриален холдинг България АД</v>
      </c>
      <c r="B884" s="594" t="str">
        <f t="shared" si="52"/>
        <v>121631219</v>
      </c>
      <c r="C884" s="598">
        <f t="shared" si="53"/>
        <v>45838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32012</v>
      </c>
    </row>
    <row r="885" spans="1:8">
      <c r="A885" s="594" t="str">
        <f t="shared" si="51"/>
        <v>Индустриален холдинг България АД</v>
      </c>
      <c r="B885" s="594" t="str">
        <f t="shared" si="52"/>
        <v>121631219</v>
      </c>
      <c r="C885" s="598">
        <f t="shared" si="53"/>
        <v>45838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98196</v>
      </c>
    </row>
    <row r="886" spans="1:8">
      <c r="A886" s="594" t="str">
        <f t="shared" si="51"/>
        <v>Индустриален холдинг България АД</v>
      </c>
      <c r="B886" s="594" t="str">
        <f t="shared" si="52"/>
        <v>121631219</v>
      </c>
      <c r="C886" s="598">
        <f t="shared" si="53"/>
        <v>45838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416</v>
      </c>
    </row>
    <row r="887" spans="1:8">
      <c r="A887" s="594" t="str">
        <f t="shared" si="51"/>
        <v>Индустриален холдинг България АД</v>
      </c>
      <c r="B887" s="594" t="str">
        <f t="shared" si="52"/>
        <v>121631219</v>
      </c>
      <c r="C887" s="598">
        <f t="shared" si="53"/>
        <v>45838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70467</v>
      </c>
    </row>
    <row r="888" spans="1:8">
      <c r="A888" s="594" t="str">
        <f t="shared" si="51"/>
        <v>Индустриален холдинг България АД</v>
      </c>
      <c r="B888" s="594" t="str">
        <f t="shared" si="52"/>
        <v>121631219</v>
      </c>
      <c r="C888" s="598">
        <f t="shared" si="53"/>
        <v>45838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842</v>
      </c>
    </row>
    <row r="889" spans="1:8">
      <c r="A889" s="594" t="str">
        <f t="shared" si="51"/>
        <v>Индустриален холдинг България АД</v>
      </c>
      <c r="B889" s="594" t="str">
        <f t="shared" si="52"/>
        <v>121631219</v>
      </c>
      <c r="C889" s="598">
        <f t="shared" si="53"/>
        <v>45838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372377</v>
      </c>
    </row>
    <row r="890" spans="1:8">
      <c r="A890" s="594" t="str">
        <f t="shared" si="51"/>
        <v>Индустриален холдинг България АД</v>
      </c>
      <c r="B890" s="594" t="str">
        <f t="shared" si="52"/>
        <v>121631219</v>
      </c>
      <c r="C890" s="598">
        <f t="shared" si="53"/>
        <v>45838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15960</v>
      </c>
    </row>
    <row r="891" spans="1:8">
      <c r="A891" s="594" t="str">
        <f t="shared" si="51"/>
        <v>Индустриален холдинг България АД</v>
      </c>
      <c r="B891" s="594" t="str">
        <f t="shared" si="52"/>
        <v>121631219</v>
      </c>
      <c r="C891" s="598">
        <f t="shared" si="53"/>
        <v>45838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0</v>
      </c>
    </row>
    <row r="892" spans="1:8">
      <c r="A892" s="594" t="str">
        <f t="shared" si="51"/>
        <v>Индустриален холдинг България АД</v>
      </c>
      <c r="B892" s="594" t="str">
        <f t="shared" si="52"/>
        <v>121631219</v>
      </c>
      <c r="C892" s="598">
        <f t="shared" si="53"/>
        <v>45838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1610</v>
      </c>
    </row>
    <row r="893" spans="1:8">
      <c r="A893" s="594" t="str">
        <f t="shared" si="51"/>
        <v>Индустриален холдинг България АД</v>
      </c>
      <c r="B893" s="594" t="str">
        <f t="shared" si="52"/>
        <v>121631219</v>
      </c>
      <c r="C893" s="598">
        <f t="shared" si="53"/>
        <v>45838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216</v>
      </c>
    </row>
    <row r="894" spans="1:8">
      <c r="A894" s="594" t="str">
        <f t="shared" si="51"/>
        <v>Индустриален холдинг България АД</v>
      </c>
      <c r="B894" s="594" t="str">
        <f t="shared" si="52"/>
        <v>121631219</v>
      </c>
      <c r="C894" s="598">
        <f t="shared" si="53"/>
        <v>45838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>Индустриален холдинг България АД</v>
      </c>
      <c r="B895" s="594" t="str">
        <f t="shared" si="52"/>
        <v>121631219</v>
      </c>
      <c r="C895" s="598">
        <f t="shared" si="53"/>
        <v>45838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268</v>
      </c>
    </row>
    <row r="896" spans="1:8">
      <c r="A896" s="594" t="str">
        <f t="shared" si="51"/>
        <v>Индустриален холдинг България АД</v>
      </c>
      <c r="B896" s="594" t="str">
        <f t="shared" si="52"/>
        <v>121631219</v>
      </c>
      <c r="C896" s="598">
        <f t="shared" si="53"/>
        <v>45838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2094</v>
      </c>
    </row>
    <row r="897" spans="1:8">
      <c r="A897" s="594" t="str">
        <f t="shared" si="51"/>
        <v>Индустриален холдинг България АД</v>
      </c>
      <c r="B897" s="594" t="str">
        <f t="shared" si="52"/>
        <v>121631219</v>
      </c>
      <c r="C897" s="598">
        <f t="shared" si="53"/>
        <v>45838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23</v>
      </c>
    </row>
    <row r="898" spans="1:8">
      <c r="A898" s="594" t="str">
        <f t="shared" si="51"/>
        <v>Индустриален холдинг България АД</v>
      </c>
      <c r="B898" s="594" t="str">
        <f t="shared" si="52"/>
        <v>121631219</v>
      </c>
      <c r="C898" s="598">
        <f t="shared" si="53"/>
        <v>45838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>Индустриален холдинг България АД</v>
      </c>
      <c r="B899" s="594" t="str">
        <f t="shared" si="52"/>
        <v>121631219</v>
      </c>
      <c r="C899" s="598">
        <f t="shared" si="53"/>
        <v>45838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>Индустриален холдинг България АД</v>
      </c>
      <c r="B900" s="594" t="str">
        <f t="shared" si="52"/>
        <v>121631219</v>
      </c>
      <c r="C900" s="598">
        <f t="shared" si="53"/>
        <v>45838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23</v>
      </c>
    </row>
    <row r="901" spans="1:8">
      <c r="A901" s="594" t="str">
        <f t="shared" si="51"/>
        <v>Индустриален холдинг България АД</v>
      </c>
      <c r="B901" s="594" t="str">
        <f t="shared" si="52"/>
        <v>121631219</v>
      </c>
      <c r="C901" s="598">
        <f t="shared" si="53"/>
        <v>45838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0</v>
      </c>
    </row>
    <row r="902" spans="1:8">
      <c r="A902" s="594" t="str">
        <f t="shared" si="51"/>
        <v>Индустриален холдинг България АД</v>
      </c>
      <c r="B902" s="594" t="str">
        <f t="shared" si="52"/>
        <v>121631219</v>
      </c>
      <c r="C902" s="598">
        <f t="shared" si="53"/>
        <v>45838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>Индустриален холдинг България АД</v>
      </c>
      <c r="B903" s="594" t="str">
        <f t="shared" si="52"/>
        <v>121631219</v>
      </c>
      <c r="C903" s="598">
        <f t="shared" si="53"/>
        <v>45838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>Индустриален холдинг България АД</v>
      </c>
      <c r="B904" s="594" t="str">
        <f t="shared" si="52"/>
        <v>121631219</v>
      </c>
      <c r="C904" s="598">
        <f t="shared" si="53"/>
        <v>45838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>Индустриален холдинг България АД</v>
      </c>
      <c r="B905" s="594" t="str">
        <f t="shared" si="52"/>
        <v>121631219</v>
      </c>
      <c r="C905" s="598">
        <f t="shared" si="53"/>
        <v>45838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>Индустриален холдинг България АД</v>
      </c>
      <c r="B906" s="594" t="str">
        <f t="shared" si="52"/>
        <v>121631219</v>
      </c>
      <c r="C906" s="598">
        <f t="shared" si="53"/>
        <v>45838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>Индустриален холдинг България АД</v>
      </c>
      <c r="B907" s="594" t="str">
        <f t="shared" si="52"/>
        <v>121631219</v>
      </c>
      <c r="C907" s="598">
        <f t="shared" si="53"/>
        <v>45838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4001</v>
      </c>
    </row>
    <row r="908" spans="1:8">
      <c r="A908" s="594" t="str">
        <f t="shared" si="51"/>
        <v>Индустриален холдинг България АД</v>
      </c>
      <c r="B908" s="594" t="str">
        <f t="shared" si="52"/>
        <v>121631219</v>
      </c>
      <c r="C908" s="598">
        <f t="shared" si="53"/>
        <v>45838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4024</v>
      </c>
    </row>
    <row r="909" spans="1:8">
      <c r="A909" s="594" t="str">
        <f t="shared" si="51"/>
        <v>Индустриален холдинг България АД</v>
      </c>
      <c r="B909" s="594" t="str">
        <f t="shared" si="52"/>
        <v>121631219</v>
      </c>
      <c r="C909" s="598">
        <f t="shared" si="53"/>
        <v>45838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4329</v>
      </c>
    </row>
    <row r="910" spans="1:8">
      <c r="A910" s="594" t="str">
        <f t="shared" si="51"/>
        <v>Индустриален холдинг България АД</v>
      </c>
      <c r="B910" s="594" t="str">
        <f t="shared" si="52"/>
        <v>121631219</v>
      </c>
      <c r="C910" s="598">
        <f t="shared" si="53"/>
        <v>45838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398784</v>
      </c>
    </row>
    <row r="911" spans="1:8" s="432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>Индустриален холдинг България АД</v>
      </c>
      <c r="B912" s="594" t="str">
        <f t="shared" ref="B912:B975" si="55">pdeBulstat</f>
        <v>121631219</v>
      </c>
      <c r="C912" s="598">
        <f t="shared" ref="C912:C975" si="56">endDate</f>
        <v>45838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>Индустриален холдинг България АД</v>
      </c>
      <c r="B913" s="594" t="str">
        <f t="shared" si="55"/>
        <v>121631219</v>
      </c>
      <c r="C913" s="598">
        <f t="shared" si="56"/>
        <v>45838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62</v>
      </c>
    </row>
    <row r="914" spans="1:8">
      <c r="A914" s="594" t="str">
        <f t="shared" si="54"/>
        <v>Индустриален холдинг България АД</v>
      </c>
      <c r="B914" s="594" t="str">
        <f t="shared" si="55"/>
        <v>121631219</v>
      </c>
      <c r="C914" s="598">
        <f t="shared" si="56"/>
        <v>45838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57</v>
      </c>
    </row>
    <row r="915" spans="1:8">
      <c r="A915" s="594" t="str">
        <f t="shared" si="54"/>
        <v>Индустриален холдинг България АД</v>
      </c>
      <c r="B915" s="594" t="str">
        <f t="shared" si="55"/>
        <v>121631219</v>
      </c>
      <c r="C915" s="598">
        <f t="shared" si="56"/>
        <v>45838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>Индустриален холдинг България АД</v>
      </c>
      <c r="B916" s="594" t="str">
        <f t="shared" si="55"/>
        <v>121631219</v>
      </c>
      <c r="C916" s="598">
        <f t="shared" si="56"/>
        <v>45838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5</v>
      </c>
    </row>
    <row r="917" spans="1:8">
      <c r="A917" s="594" t="str">
        <f t="shared" si="54"/>
        <v>Индустриален холдинг България АД</v>
      </c>
      <c r="B917" s="594" t="str">
        <f t="shared" si="55"/>
        <v>121631219</v>
      </c>
      <c r="C917" s="598">
        <f t="shared" si="56"/>
        <v>45838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>Индустриален холдинг България АД</v>
      </c>
      <c r="B918" s="594" t="str">
        <f t="shared" si="55"/>
        <v>121631219</v>
      </c>
      <c r="C918" s="598">
        <f t="shared" si="56"/>
        <v>45838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5</v>
      </c>
    </row>
    <row r="919" spans="1:8">
      <c r="A919" s="594" t="str">
        <f t="shared" si="54"/>
        <v>Индустриален холдинг България АД</v>
      </c>
      <c r="B919" s="594" t="str">
        <f t="shared" si="55"/>
        <v>121631219</v>
      </c>
      <c r="C919" s="598">
        <f t="shared" si="56"/>
        <v>45838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>Индустриален холдинг България АД</v>
      </c>
      <c r="B920" s="594" t="str">
        <f t="shared" si="55"/>
        <v>121631219</v>
      </c>
      <c r="C920" s="598">
        <f t="shared" si="56"/>
        <v>45838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5</v>
      </c>
    </row>
    <row r="921" spans="1:8">
      <c r="A921" s="594" t="str">
        <f t="shared" si="54"/>
        <v>Индустриален холдинг България АД</v>
      </c>
      <c r="B921" s="594" t="str">
        <f t="shared" si="55"/>
        <v>121631219</v>
      </c>
      <c r="C921" s="598">
        <f t="shared" si="56"/>
        <v>45838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67</v>
      </c>
    </row>
    <row r="922" spans="1:8">
      <c r="A922" s="594" t="str">
        <f t="shared" si="54"/>
        <v>Индустриален холдинг България АД</v>
      </c>
      <c r="B922" s="594" t="str">
        <f t="shared" si="55"/>
        <v>121631219</v>
      </c>
      <c r="C922" s="598">
        <f t="shared" si="56"/>
        <v>45838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47</v>
      </c>
    </row>
    <row r="923" spans="1:8">
      <c r="A923" s="594" t="str">
        <f t="shared" si="54"/>
        <v>Индустриален холдинг България АД</v>
      </c>
      <c r="B923" s="594" t="str">
        <f t="shared" si="55"/>
        <v>121631219</v>
      </c>
      <c r="C923" s="598">
        <f t="shared" si="56"/>
        <v>45838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94</v>
      </c>
    </row>
    <row r="924" spans="1:8">
      <c r="A924" s="594" t="str">
        <f t="shared" si="54"/>
        <v>Индустриален холдинг България АД</v>
      </c>
      <c r="B924" s="594" t="str">
        <f t="shared" si="55"/>
        <v>121631219</v>
      </c>
      <c r="C924" s="598">
        <f t="shared" si="56"/>
        <v>45838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0</v>
      </c>
    </row>
    <row r="925" spans="1:8">
      <c r="A925" s="594" t="str">
        <f t="shared" si="54"/>
        <v>Индустриален холдинг България АД</v>
      </c>
      <c r="B925" s="594" t="str">
        <f t="shared" si="55"/>
        <v>121631219</v>
      </c>
      <c r="C925" s="598">
        <f t="shared" si="56"/>
        <v>45838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>Индустриален холдинг България АД</v>
      </c>
      <c r="B926" s="594" t="str">
        <f t="shared" si="55"/>
        <v>121631219</v>
      </c>
      <c r="C926" s="598">
        <f t="shared" si="56"/>
        <v>45838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94</v>
      </c>
    </row>
    <row r="927" spans="1:8">
      <c r="A927" s="594" t="str">
        <f t="shared" si="54"/>
        <v>Индустриален холдинг България АД</v>
      </c>
      <c r="B927" s="594" t="str">
        <f t="shared" si="55"/>
        <v>121631219</v>
      </c>
      <c r="C927" s="598">
        <f t="shared" si="56"/>
        <v>45838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7312</v>
      </c>
    </row>
    <row r="928" spans="1:8">
      <c r="A928" s="594" t="str">
        <f t="shared" si="54"/>
        <v>Индустриален холдинг България АД</v>
      </c>
      <c r="B928" s="594" t="str">
        <f t="shared" si="55"/>
        <v>121631219</v>
      </c>
      <c r="C928" s="598">
        <f t="shared" si="56"/>
        <v>45838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163</v>
      </c>
    </row>
    <row r="929" spans="1:8">
      <c r="A929" s="594" t="str">
        <f t="shared" si="54"/>
        <v>Индустриален холдинг България АД</v>
      </c>
      <c r="B929" s="594" t="str">
        <f t="shared" si="55"/>
        <v>121631219</v>
      </c>
      <c r="C929" s="598">
        <f t="shared" si="56"/>
        <v>45838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0</v>
      </c>
    </row>
    <row r="930" spans="1:8">
      <c r="A930" s="594" t="str">
        <f t="shared" si="54"/>
        <v>Индустриален холдинг България АД</v>
      </c>
      <c r="B930" s="594" t="str">
        <f t="shared" si="55"/>
        <v>121631219</v>
      </c>
      <c r="C930" s="598">
        <f t="shared" si="56"/>
        <v>45838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20</v>
      </c>
    </row>
    <row r="931" spans="1:8">
      <c r="A931" s="594" t="str">
        <f t="shared" si="54"/>
        <v>Индустриален холдинг България АД</v>
      </c>
      <c r="B931" s="594" t="str">
        <f t="shared" si="55"/>
        <v>121631219</v>
      </c>
      <c r="C931" s="598">
        <f t="shared" si="56"/>
        <v>45838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>Индустриален холдинг България АД</v>
      </c>
      <c r="B932" s="594" t="str">
        <f t="shared" si="55"/>
        <v>121631219</v>
      </c>
      <c r="C932" s="598">
        <f t="shared" si="56"/>
        <v>45838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1092</v>
      </c>
    </row>
    <row r="933" spans="1:8">
      <c r="A933" s="594" t="str">
        <f t="shared" si="54"/>
        <v>Индустриален холдинг България АД</v>
      </c>
      <c r="B933" s="594" t="str">
        <f t="shared" si="55"/>
        <v>121631219</v>
      </c>
      <c r="C933" s="598">
        <f t="shared" si="56"/>
        <v>45838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1</v>
      </c>
    </row>
    <row r="934" spans="1:8">
      <c r="A934" s="594" t="str">
        <f t="shared" si="54"/>
        <v>Индустриален холдинг България АД</v>
      </c>
      <c r="B934" s="594" t="str">
        <f t="shared" si="55"/>
        <v>121631219</v>
      </c>
      <c r="C934" s="598">
        <f t="shared" si="56"/>
        <v>45838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1089</v>
      </c>
    </row>
    <row r="935" spans="1:8">
      <c r="A935" s="594" t="str">
        <f t="shared" si="54"/>
        <v>Индустриален холдинг България АД</v>
      </c>
      <c r="B935" s="594" t="str">
        <f t="shared" si="55"/>
        <v>121631219</v>
      </c>
      <c r="C935" s="598">
        <f t="shared" si="56"/>
        <v>45838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>Индустриален холдинг България АД</v>
      </c>
      <c r="B936" s="594" t="str">
        <f t="shared" si="55"/>
        <v>121631219</v>
      </c>
      <c r="C936" s="598">
        <f t="shared" si="56"/>
        <v>45838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2</v>
      </c>
    </row>
    <row r="937" spans="1:8">
      <c r="A937" s="594" t="str">
        <f t="shared" si="54"/>
        <v>Индустриален холдинг България АД</v>
      </c>
      <c r="B937" s="594" t="str">
        <f t="shared" si="55"/>
        <v>121631219</v>
      </c>
      <c r="C937" s="598">
        <f t="shared" si="56"/>
        <v>45838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443</v>
      </c>
    </row>
    <row r="938" spans="1:8">
      <c r="A938" s="594" t="str">
        <f t="shared" si="54"/>
        <v>Индустриален холдинг България АД</v>
      </c>
      <c r="B938" s="594" t="str">
        <f t="shared" si="55"/>
        <v>121631219</v>
      </c>
      <c r="C938" s="598">
        <f t="shared" si="56"/>
        <v>45838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>Индустриален холдинг България АД</v>
      </c>
      <c r="B939" s="594" t="str">
        <f t="shared" si="55"/>
        <v>121631219</v>
      </c>
      <c r="C939" s="598">
        <f t="shared" si="56"/>
        <v>45838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>Индустриален холдинг България АД</v>
      </c>
      <c r="B940" s="594" t="str">
        <f t="shared" si="55"/>
        <v>121631219</v>
      </c>
      <c r="C940" s="598">
        <f t="shared" si="56"/>
        <v>45838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>Индустриален холдинг България АД</v>
      </c>
      <c r="B941" s="594" t="str">
        <f t="shared" si="55"/>
        <v>121631219</v>
      </c>
      <c r="C941" s="598">
        <f t="shared" si="56"/>
        <v>45838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443</v>
      </c>
    </row>
    <row r="942" spans="1:8">
      <c r="A942" s="594" t="str">
        <f t="shared" si="54"/>
        <v>Индустриален холдинг България АД</v>
      </c>
      <c r="B942" s="594" t="str">
        <f t="shared" si="55"/>
        <v>121631219</v>
      </c>
      <c r="C942" s="598">
        <f t="shared" si="56"/>
        <v>45838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9124</v>
      </c>
    </row>
    <row r="943" spans="1:8">
      <c r="A943" s="594" t="str">
        <f t="shared" si="54"/>
        <v>Индустриален холдинг България АД</v>
      </c>
      <c r="B943" s="594" t="str">
        <f t="shared" si="55"/>
        <v>121631219</v>
      </c>
      <c r="C943" s="598">
        <f t="shared" si="56"/>
        <v>45838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9238</v>
      </c>
    </row>
    <row r="944" spans="1:8">
      <c r="A944" s="594" t="str">
        <f t="shared" si="54"/>
        <v>Индустриален холдинг България АД</v>
      </c>
      <c r="B944" s="594" t="str">
        <f t="shared" si="55"/>
        <v>121631219</v>
      </c>
      <c r="C944" s="598">
        <f t="shared" si="56"/>
        <v>45838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>Индустриален холдинг България АД</v>
      </c>
      <c r="B945" s="594" t="str">
        <f t="shared" si="55"/>
        <v>121631219</v>
      </c>
      <c r="C945" s="598">
        <f t="shared" si="56"/>
        <v>45838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6</v>
      </c>
    </row>
    <row r="946" spans="1:8">
      <c r="A946" s="594" t="str">
        <f t="shared" si="54"/>
        <v>Индустриален холдинг България АД</v>
      </c>
      <c r="B946" s="594" t="str">
        <f t="shared" si="55"/>
        <v>121631219</v>
      </c>
      <c r="C946" s="598">
        <f t="shared" si="56"/>
        <v>45838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6</v>
      </c>
    </row>
    <row r="947" spans="1:8">
      <c r="A947" s="594" t="str">
        <f t="shared" si="54"/>
        <v>Индустриален холдинг България АД</v>
      </c>
      <c r="B947" s="594" t="str">
        <f t="shared" si="55"/>
        <v>121631219</v>
      </c>
      <c r="C947" s="598">
        <f t="shared" si="56"/>
        <v>45838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>Индустриален холдинг България АД</v>
      </c>
      <c r="B948" s="594" t="str">
        <f t="shared" si="55"/>
        <v>121631219</v>
      </c>
      <c r="C948" s="598">
        <f t="shared" si="56"/>
        <v>45838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>Индустриален холдинг България АД</v>
      </c>
      <c r="B949" s="594" t="str">
        <f t="shared" si="55"/>
        <v>121631219</v>
      </c>
      <c r="C949" s="598">
        <f t="shared" si="56"/>
        <v>45838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>Индустриален холдинг България АД</v>
      </c>
      <c r="B950" s="594" t="str">
        <f t="shared" si="55"/>
        <v>121631219</v>
      </c>
      <c r="C950" s="598">
        <f t="shared" si="56"/>
        <v>45838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>Индустриален холдинг България АД</v>
      </c>
      <c r="B951" s="594" t="str">
        <f t="shared" si="55"/>
        <v>121631219</v>
      </c>
      <c r="C951" s="598">
        <f t="shared" si="56"/>
        <v>45838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>Индустриален холдинг България АД</v>
      </c>
      <c r="B952" s="594" t="str">
        <f t="shared" si="55"/>
        <v>121631219</v>
      </c>
      <c r="C952" s="598">
        <f t="shared" si="56"/>
        <v>45838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>Индустриален холдинг България АД</v>
      </c>
      <c r="B953" s="594" t="str">
        <f t="shared" si="55"/>
        <v>121631219</v>
      </c>
      <c r="C953" s="598">
        <f t="shared" si="56"/>
        <v>45838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6</v>
      </c>
    </row>
    <row r="954" spans="1:8">
      <c r="A954" s="594" t="str">
        <f t="shared" si="54"/>
        <v>Индустриален холдинг България АД</v>
      </c>
      <c r="B954" s="594" t="str">
        <f t="shared" si="55"/>
        <v>121631219</v>
      </c>
      <c r="C954" s="598">
        <f t="shared" si="56"/>
        <v>45838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>Индустриален холдинг България АД</v>
      </c>
      <c r="B955" s="594" t="str">
        <f t="shared" si="55"/>
        <v>121631219</v>
      </c>
      <c r="C955" s="598">
        <f t="shared" si="56"/>
        <v>45838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94</v>
      </c>
    </row>
    <row r="956" spans="1:8">
      <c r="A956" s="594" t="str">
        <f t="shared" si="54"/>
        <v>Индустриален холдинг България АД</v>
      </c>
      <c r="B956" s="594" t="str">
        <f t="shared" si="55"/>
        <v>121631219</v>
      </c>
      <c r="C956" s="598">
        <f t="shared" si="56"/>
        <v>45838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0</v>
      </c>
    </row>
    <row r="957" spans="1:8">
      <c r="A957" s="594" t="str">
        <f t="shared" si="54"/>
        <v>Индустриален холдинг България АД</v>
      </c>
      <c r="B957" s="594" t="str">
        <f t="shared" si="55"/>
        <v>121631219</v>
      </c>
      <c r="C957" s="598">
        <f t="shared" si="56"/>
        <v>45838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>Индустриален холдинг България АД</v>
      </c>
      <c r="B958" s="594" t="str">
        <f t="shared" si="55"/>
        <v>121631219</v>
      </c>
      <c r="C958" s="598">
        <f t="shared" si="56"/>
        <v>45838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94</v>
      </c>
    </row>
    <row r="959" spans="1:8">
      <c r="A959" s="594" t="str">
        <f t="shared" si="54"/>
        <v>Индустриален холдинг България АД</v>
      </c>
      <c r="B959" s="594" t="str">
        <f t="shared" si="55"/>
        <v>121631219</v>
      </c>
      <c r="C959" s="598">
        <f t="shared" si="56"/>
        <v>45838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7312</v>
      </c>
    </row>
    <row r="960" spans="1:8">
      <c r="A960" s="594" t="str">
        <f t="shared" si="54"/>
        <v>Индустриален холдинг България АД</v>
      </c>
      <c r="B960" s="594" t="str">
        <f t="shared" si="55"/>
        <v>121631219</v>
      </c>
      <c r="C960" s="598">
        <f t="shared" si="56"/>
        <v>45838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163</v>
      </c>
    </row>
    <row r="961" spans="1:8">
      <c r="A961" s="594" t="str">
        <f t="shared" si="54"/>
        <v>Индустриален холдинг България АД</v>
      </c>
      <c r="B961" s="594" t="str">
        <f t="shared" si="55"/>
        <v>121631219</v>
      </c>
      <c r="C961" s="598">
        <f t="shared" si="56"/>
        <v>45838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0</v>
      </c>
    </row>
    <row r="962" spans="1:8">
      <c r="A962" s="594" t="str">
        <f t="shared" si="54"/>
        <v>Индустриален холдинг България АД</v>
      </c>
      <c r="B962" s="594" t="str">
        <f t="shared" si="55"/>
        <v>121631219</v>
      </c>
      <c r="C962" s="598">
        <f t="shared" si="56"/>
        <v>45838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20</v>
      </c>
    </row>
    <row r="963" spans="1:8">
      <c r="A963" s="594" t="str">
        <f t="shared" si="54"/>
        <v>Индустриален холдинг България АД</v>
      </c>
      <c r="B963" s="594" t="str">
        <f t="shared" si="55"/>
        <v>121631219</v>
      </c>
      <c r="C963" s="598">
        <f t="shared" si="56"/>
        <v>45838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>Индустриален холдинг България АД</v>
      </c>
      <c r="B964" s="594" t="str">
        <f t="shared" si="55"/>
        <v>121631219</v>
      </c>
      <c r="C964" s="598">
        <f t="shared" si="56"/>
        <v>45838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1092</v>
      </c>
    </row>
    <row r="965" spans="1:8">
      <c r="A965" s="594" t="str">
        <f t="shared" si="54"/>
        <v>Индустриален холдинг България АД</v>
      </c>
      <c r="B965" s="594" t="str">
        <f t="shared" si="55"/>
        <v>121631219</v>
      </c>
      <c r="C965" s="598">
        <f t="shared" si="56"/>
        <v>45838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1</v>
      </c>
    </row>
    <row r="966" spans="1:8">
      <c r="A966" s="594" t="str">
        <f t="shared" si="54"/>
        <v>Индустриален холдинг България АД</v>
      </c>
      <c r="B966" s="594" t="str">
        <f t="shared" si="55"/>
        <v>121631219</v>
      </c>
      <c r="C966" s="598">
        <f t="shared" si="56"/>
        <v>45838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1089</v>
      </c>
    </row>
    <row r="967" spans="1:8">
      <c r="A967" s="594" t="str">
        <f t="shared" si="54"/>
        <v>Индустриален холдинг България АД</v>
      </c>
      <c r="B967" s="594" t="str">
        <f t="shared" si="55"/>
        <v>121631219</v>
      </c>
      <c r="C967" s="598">
        <f t="shared" si="56"/>
        <v>45838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>Индустриален холдинг България АД</v>
      </c>
      <c r="B968" s="594" t="str">
        <f t="shared" si="55"/>
        <v>121631219</v>
      </c>
      <c r="C968" s="598">
        <f t="shared" si="56"/>
        <v>45838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2</v>
      </c>
    </row>
    <row r="969" spans="1:8">
      <c r="A969" s="594" t="str">
        <f t="shared" si="54"/>
        <v>Индустриален холдинг България АД</v>
      </c>
      <c r="B969" s="594" t="str">
        <f t="shared" si="55"/>
        <v>121631219</v>
      </c>
      <c r="C969" s="598">
        <f t="shared" si="56"/>
        <v>45838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443</v>
      </c>
    </row>
    <row r="970" spans="1:8">
      <c r="A970" s="594" t="str">
        <f t="shared" si="54"/>
        <v>Индустриален холдинг България АД</v>
      </c>
      <c r="B970" s="594" t="str">
        <f t="shared" si="55"/>
        <v>121631219</v>
      </c>
      <c r="C970" s="598">
        <f t="shared" si="56"/>
        <v>45838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>Индустриален холдинг България АД</v>
      </c>
      <c r="B971" s="594" t="str">
        <f t="shared" si="55"/>
        <v>121631219</v>
      </c>
      <c r="C971" s="598">
        <f t="shared" si="56"/>
        <v>45838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>Индустриален холдинг България АД</v>
      </c>
      <c r="B972" s="594" t="str">
        <f t="shared" si="55"/>
        <v>121631219</v>
      </c>
      <c r="C972" s="598">
        <f t="shared" si="56"/>
        <v>45838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>Индустриален холдинг България АД</v>
      </c>
      <c r="B973" s="594" t="str">
        <f t="shared" si="55"/>
        <v>121631219</v>
      </c>
      <c r="C973" s="598">
        <f t="shared" si="56"/>
        <v>45838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443</v>
      </c>
    </row>
    <row r="974" spans="1:8">
      <c r="A974" s="594" t="str">
        <f t="shared" si="54"/>
        <v>Индустриален холдинг България АД</v>
      </c>
      <c r="B974" s="594" t="str">
        <f t="shared" si="55"/>
        <v>121631219</v>
      </c>
      <c r="C974" s="598">
        <f t="shared" si="56"/>
        <v>45838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9124</v>
      </c>
    </row>
    <row r="975" spans="1:8">
      <c r="A975" s="594" t="str">
        <f t="shared" si="54"/>
        <v>Индустриален холдинг България АД</v>
      </c>
      <c r="B975" s="594" t="str">
        <f t="shared" si="55"/>
        <v>121631219</v>
      </c>
      <c r="C975" s="598">
        <f t="shared" si="56"/>
        <v>45838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9130</v>
      </c>
    </row>
    <row r="976" spans="1:8">
      <c r="A976" s="594" t="str">
        <f t="shared" ref="A976:A1039" si="57">pdeName</f>
        <v>Индустриален холдинг България АД</v>
      </c>
      <c r="B976" s="594" t="str">
        <f t="shared" ref="B976:B1039" si="58">pdeBulstat</f>
        <v>121631219</v>
      </c>
      <c r="C976" s="598">
        <f t="shared" ref="C976:C1039" si="59">endDate</f>
        <v>45838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>Индустриален холдинг България АД</v>
      </c>
      <c r="B977" s="594" t="str">
        <f t="shared" si="58"/>
        <v>121631219</v>
      </c>
      <c r="C977" s="598">
        <f t="shared" si="59"/>
        <v>45838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56</v>
      </c>
    </row>
    <row r="978" spans="1:8">
      <c r="A978" s="594" t="str">
        <f t="shared" si="57"/>
        <v>Индустриален холдинг България АД</v>
      </c>
      <c r="B978" s="594" t="str">
        <f t="shared" si="58"/>
        <v>121631219</v>
      </c>
      <c r="C978" s="598">
        <f t="shared" si="59"/>
        <v>45838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51</v>
      </c>
    </row>
    <row r="979" spans="1:8">
      <c r="A979" s="594" t="str">
        <f t="shared" si="57"/>
        <v>Индустриален холдинг България АД</v>
      </c>
      <c r="B979" s="594" t="str">
        <f t="shared" si="58"/>
        <v>121631219</v>
      </c>
      <c r="C979" s="598">
        <f t="shared" si="59"/>
        <v>45838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>Индустриален холдинг България АД</v>
      </c>
      <c r="B980" s="594" t="str">
        <f t="shared" si="58"/>
        <v>121631219</v>
      </c>
      <c r="C980" s="598">
        <f t="shared" si="59"/>
        <v>45838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5</v>
      </c>
    </row>
    <row r="981" spans="1:8">
      <c r="A981" s="594" t="str">
        <f t="shared" si="57"/>
        <v>Индустриален холдинг България АД</v>
      </c>
      <c r="B981" s="594" t="str">
        <f t="shared" si="58"/>
        <v>121631219</v>
      </c>
      <c r="C981" s="598">
        <f t="shared" si="59"/>
        <v>45838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>Индустриален холдинг България АД</v>
      </c>
      <c r="B982" s="594" t="str">
        <f t="shared" si="58"/>
        <v>121631219</v>
      </c>
      <c r="C982" s="598">
        <f t="shared" si="59"/>
        <v>45838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5</v>
      </c>
    </row>
    <row r="983" spans="1:8">
      <c r="A983" s="594" t="str">
        <f t="shared" si="57"/>
        <v>Индустриален холдинг България АД</v>
      </c>
      <c r="B983" s="594" t="str">
        <f t="shared" si="58"/>
        <v>121631219</v>
      </c>
      <c r="C983" s="598">
        <f t="shared" si="59"/>
        <v>45838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>Индустриален холдинг България АД</v>
      </c>
      <c r="B984" s="594" t="str">
        <f t="shared" si="58"/>
        <v>121631219</v>
      </c>
      <c r="C984" s="598">
        <f t="shared" si="59"/>
        <v>45838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5</v>
      </c>
    </row>
    <row r="985" spans="1:8">
      <c r="A985" s="594" t="str">
        <f t="shared" si="57"/>
        <v>Индустриален холдинг България АД</v>
      </c>
      <c r="B985" s="594" t="str">
        <f t="shared" si="58"/>
        <v>121631219</v>
      </c>
      <c r="C985" s="598">
        <f t="shared" si="59"/>
        <v>45838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61</v>
      </c>
    </row>
    <row r="986" spans="1:8">
      <c r="A986" s="594" t="str">
        <f t="shared" si="57"/>
        <v>Индустриален холдинг България АД</v>
      </c>
      <c r="B986" s="594" t="str">
        <f t="shared" si="58"/>
        <v>121631219</v>
      </c>
      <c r="C986" s="598">
        <f t="shared" si="59"/>
        <v>45838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47</v>
      </c>
    </row>
    <row r="987" spans="1:8">
      <c r="A987" s="594" t="str">
        <f t="shared" si="57"/>
        <v>Индустриален холдинг България АД</v>
      </c>
      <c r="B987" s="594" t="str">
        <f t="shared" si="58"/>
        <v>121631219</v>
      </c>
      <c r="C987" s="598">
        <f t="shared" si="59"/>
        <v>45838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0</v>
      </c>
    </row>
    <row r="988" spans="1:8">
      <c r="A988" s="594" t="str">
        <f t="shared" si="57"/>
        <v>Индустриален холдинг България АД</v>
      </c>
      <c r="B988" s="594" t="str">
        <f t="shared" si="58"/>
        <v>121631219</v>
      </c>
      <c r="C988" s="598">
        <f t="shared" si="59"/>
        <v>45838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0</v>
      </c>
    </row>
    <row r="989" spans="1:8">
      <c r="A989" s="594" t="str">
        <f t="shared" si="57"/>
        <v>Индустриален холдинг България АД</v>
      </c>
      <c r="B989" s="594" t="str">
        <f t="shared" si="58"/>
        <v>121631219</v>
      </c>
      <c r="C989" s="598">
        <f t="shared" si="59"/>
        <v>45838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>Индустриален холдинг България АД</v>
      </c>
      <c r="B990" s="594" t="str">
        <f t="shared" si="58"/>
        <v>121631219</v>
      </c>
      <c r="C990" s="598">
        <f t="shared" si="59"/>
        <v>45838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>Индустриален холдинг България АД</v>
      </c>
      <c r="B991" s="594" t="str">
        <f t="shared" si="58"/>
        <v>121631219</v>
      </c>
      <c r="C991" s="598">
        <f t="shared" si="59"/>
        <v>45838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>Индустриален холдинг България АД</v>
      </c>
      <c r="B992" s="594" t="str">
        <f t="shared" si="58"/>
        <v>121631219</v>
      </c>
      <c r="C992" s="598">
        <f t="shared" si="59"/>
        <v>45838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>Индустриален холдинг България АД</v>
      </c>
      <c r="B993" s="594" t="str">
        <f t="shared" si="58"/>
        <v>121631219</v>
      </c>
      <c r="C993" s="598">
        <f t="shared" si="59"/>
        <v>45838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>Индустриален холдинг България АД</v>
      </c>
      <c r="B994" s="594" t="str">
        <f t="shared" si="58"/>
        <v>121631219</v>
      </c>
      <c r="C994" s="598">
        <f t="shared" si="59"/>
        <v>45838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>Индустриален холдинг България АД</v>
      </c>
      <c r="B995" s="594" t="str">
        <f t="shared" si="58"/>
        <v>121631219</v>
      </c>
      <c r="C995" s="598">
        <f t="shared" si="59"/>
        <v>45838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>Индустриален холдинг България АД</v>
      </c>
      <c r="B996" s="594" t="str">
        <f t="shared" si="58"/>
        <v>121631219</v>
      </c>
      <c r="C996" s="598">
        <f t="shared" si="59"/>
        <v>45838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>Индустриален холдинг България АД</v>
      </c>
      <c r="B997" s="594" t="str">
        <f t="shared" si="58"/>
        <v>121631219</v>
      </c>
      <c r="C997" s="598">
        <f t="shared" si="59"/>
        <v>45838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>Индустриален холдинг България АД</v>
      </c>
      <c r="B998" s="594" t="str">
        <f t="shared" si="58"/>
        <v>121631219</v>
      </c>
      <c r="C998" s="598">
        <f t="shared" si="59"/>
        <v>45838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>Индустриален холдинг България АД</v>
      </c>
      <c r="B999" s="594" t="str">
        <f t="shared" si="58"/>
        <v>121631219</v>
      </c>
      <c r="C999" s="598">
        <f t="shared" si="59"/>
        <v>45838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>Индустриален холдинг България АД</v>
      </c>
      <c r="B1000" s="594" t="str">
        <f t="shared" si="58"/>
        <v>121631219</v>
      </c>
      <c r="C1000" s="598">
        <f t="shared" si="59"/>
        <v>45838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>Индустриален холдинг България АД</v>
      </c>
      <c r="B1001" s="594" t="str">
        <f t="shared" si="58"/>
        <v>121631219</v>
      </c>
      <c r="C1001" s="598">
        <f t="shared" si="59"/>
        <v>45838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>Индустриален холдинг България АД</v>
      </c>
      <c r="B1002" s="594" t="str">
        <f t="shared" si="58"/>
        <v>121631219</v>
      </c>
      <c r="C1002" s="598">
        <f t="shared" si="59"/>
        <v>45838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>Индустриален холдинг България АД</v>
      </c>
      <c r="B1003" s="594" t="str">
        <f t="shared" si="58"/>
        <v>121631219</v>
      </c>
      <c r="C1003" s="598">
        <f t="shared" si="59"/>
        <v>45838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>Индустриален холдинг България АД</v>
      </c>
      <c r="B1004" s="594" t="str">
        <f t="shared" si="58"/>
        <v>121631219</v>
      </c>
      <c r="C1004" s="598">
        <f t="shared" si="59"/>
        <v>45838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>Индустриален холдинг България АД</v>
      </c>
      <c r="B1005" s="594" t="str">
        <f t="shared" si="58"/>
        <v>121631219</v>
      </c>
      <c r="C1005" s="598">
        <f t="shared" si="59"/>
        <v>45838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>Индустриален холдинг България АД</v>
      </c>
      <c r="B1006" s="594" t="str">
        <f t="shared" si="58"/>
        <v>121631219</v>
      </c>
      <c r="C1006" s="598">
        <f t="shared" si="59"/>
        <v>45838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0</v>
      </c>
    </row>
    <row r="1007" spans="1:8">
      <c r="A1007" s="594" t="str">
        <f t="shared" si="57"/>
        <v>Индустриален холдинг България АД</v>
      </c>
      <c r="B1007" s="594" t="str">
        <f t="shared" si="58"/>
        <v>121631219</v>
      </c>
      <c r="C1007" s="598">
        <f t="shared" si="59"/>
        <v>45838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108</v>
      </c>
    </row>
    <row r="1008" spans="1:8">
      <c r="A1008" s="594" t="str">
        <f t="shared" si="57"/>
        <v>Индустриален холдинг България АД</v>
      </c>
      <c r="B1008" s="594" t="str">
        <f t="shared" si="58"/>
        <v>121631219</v>
      </c>
      <c r="C1008" s="598">
        <f t="shared" si="59"/>
        <v>45838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10597</v>
      </c>
    </row>
    <row r="1009" spans="1:8">
      <c r="A1009" s="594" t="str">
        <f t="shared" si="57"/>
        <v>Индустриален холдинг България АД</v>
      </c>
      <c r="B1009" s="594" t="str">
        <f t="shared" si="58"/>
        <v>121631219</v>
      </c>
      <c r="C1009" s="598">
        <f t="shared" si="59"/>
        <v>45838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10586</v>
      </c>
    </row>
    <row r="1010" spans="1:8">
      <c r="A1010" s="594" t="str">
        <f t="shared" si="57"/>
        <v>Индустриален холдинг България АД</v>
      </c>
      <c r="B1010" s="594" t="str">
        <f t="shared" si="58"/>
        <v>121631219</v>
      </c>
      <c r="C1010" s="598">
        <f t="shared" si="59"/>
        <v>45838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>Индустриален холдинг България АД</v>
      </c>
      <c r="B1011" s="594" t="str">
        <f t="shared" si="58"/>
        <v>121631219</v>
      </c>
      <c r="C1011" s="598">
        <f t="shared" si="59"/>
        <v>45838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11</v>
      </c>
    </row>
    <row r="1012" spans="1:8">
      <c r="A1012" s="594" t="str">
        <f t="shared" si="57"/>
        <v>Индустриален холдинг България АД</v>
      </c>
      <c r="B1012" s="594" t="str">
        <f t="shared" si="58"/>
        <v>121631219</v>
      </c>
      <c r="C1012" s="598">
        <f t="shared" si="59"/>
        <v>45838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14775</v>
      </c>
    </row>
    <row r="1013" spans="1:8">
      <c r="A1013" s="594" t="str">
        <f t="shared" si="57"/>
        <v>Индустриален холдинг България АД</v>
      </c>
      <c r="B1013" s="594" t="str">
        <f t="shared" si="58"/>
        <v>121631219</v>
      </c>
      <c r="C1013" s="598">
        <f t="shared" si="59"/>
        <v>45838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14775</v>
      </c>
    </row>
    <row r="1014" spans="1:8">
      <c r="A1014" s="594" t="str">
        <f t="shared" si="57"/>
        <v>Индустриален холдинг България АД</v>
      </c>
      <c r="B1014" s="594" t="str">
        <f t="shared" si="58"/>
        <v>121631219</v>
      </c>
      <c r="C1014" s="598">
        <f t="shared" si="59"/>
        <v>45838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>Индустриален холдинг България АД</v>
      </c>
      <c r="B1015" s="594" t="str">
        <f t="shared" si="58"/>
        <v>121631219</v>
      </c>
      <c r="C1015" s="598">
        <f t="shared" si="59"/>
        <v>45838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>Индустриален холдинг България АД</v>
      </c>
      <c r="B1016" s="594" t="str">
        <f t="shared" si="58"/>
        <v>121631219</v>
      </c>
      <c r="C1016" s="598">
        <f t="shared" si="59"/>
        <v>45838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>Индустриален холдинг България АД</v>
      </c>
      <c r="B1017" s="594" t="str">
        <f t="shared" si="58"/>
        <v>121631219</v>
      </c>
      <c r="C1017" s="598">
        <f t="shared" si="59"/>
        <v>45838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>Индустриален холдинг България АД</v>
      </c>
      <c r="B1018" s="594" t="str">
        <f t="shared" si="58"/>
        <v>121631219</v>
      </c>
      <c r="C1018" s="598">
        <f t="shared" si="59"/>
        <v>45838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0</v>
      </c>
    </row>
    <row r="1019" spans="1:8">
      <c r="A1019" s="594" t="str">
        <f t="shared" si="57"/>
        <v>Индустриален холдинг България АД</v>
      </c>
      <c r="B1019" s="594" t="str">
        <f t="shared" si="58"/>
        <v>121631219</v>
      </c>
      <c r="C1019" s="598">
        <f t="shared" si="59"/>
        <v>45838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0</v>
      </c>
    </row>
    <row r="1020" spans="1:8">
      <c r="A1020" s="594" t="str">
        <f t="shared" si="57"/>
        <v>Индустриален холдинг България АД</v>
      </c>
      <c r="B1020" s="594" t="str">
        <f t="shared" si="58"/>
        <v>121631219</v>
      </c>
      <c r="C1020" s="598">
        <f t="shared" si="59"/>
        <v>45838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2329</v>
      </c>
    </row>
    <row r="1021" spans="1:8">
      <c r="A1021" s="594" t="str">
        <f t="shared" si="57"/>
        <v>Индустриален холдинг България АД</v>
      </c>
      <c r="B1021" s="594" t="str">
        <f t="shared" si="58"/>
        <v>121631219</v>
      </c>
      <c r="C1021" s="598">
        <f t="shared" si="59"/>
        <v>45838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0</v>
      </c>
    </row>
    <row r="1022" spans="1:8">
      <c r="A1022" s="594" t="str">
        <f t="shared" si="57"/>
        <v>Индустриален холдинг България АД</v>
      </c>
      <c r="B1022" s="594" t="str">
        <f t="shared" si="58"/>
        <v>121631219</v>
      </c>
      <c r="C1022" s="598">
        <f t="shared" si="59"/>
        <v>45838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27701</v>
      </c>
    </row>
    <row r="1023" spans="1:8">
      <c r="A1023" s="594" t="str">
        <f t="shared" si="57"/>
        <v>Индустриален холдинг България АД</v>
      </c>
      <c r="B1023" s="594" t="str">
        <f t="shared" si="58"/>
        <v>121631219</v>
      </c>
      <c r="C1023" s="598">
        <f t="shared" si="59"/>
        <v>45838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11639</v>
      </c>
    </row>
    <row r="1024" spans="1:8">
      <c r="A1024" s="594" t="str">
        <f t="shared" si="57"/>
        <v>Индустриален холдинг България АД</v>
      </c>
      <c r="B1024" s="594" t="str">
        <f t="shared" si="58"/>
        <v>121631219</v>
      </c>
      <c r="C1024" s="598">
        <f t="shared" si="59"/>
        <v>45838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0</v>
      </c>
    </row>
    <row r="1025" spans="1:8">
      <c r="A1025" s="594" t="str">
        <f t="shared" si="57"/>
        <v>Индустриален холдинг България АД</v>
      </c>
      <c r="B1025" s="594" t="str">
        <f t="shared" si="58"/>
        <v>121631219</v>
      </c>
      <c r="C1025" s="598">
        <f t="shared" si="59"/>
        <v>45838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0</v>
      </c>
    </row>
    <row r="1026" spans="1:8">
      <c r="A1026" s="594" t="str">
        <f t="shared" si="57"/>
        <v>Индустриален холдинг България АД</v>
      </c>
      <c r="B1026" s="594" t="str">
        <f t="shared" si="58"/>
        <v>121631219</v>
      </c>
      <c r="C1026" s="598">
        <f t="shared" si="59"/>
        <v>45838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>Индустриален холдинг България АД</v>
      </c>
      <c r="B1027" s="594" t="str">
        <f t="shared" si="58"/>
        <v>121631219</v>
      </c>
      <c r="C1027" s="598">
        <f t="shared" si="59"/>
        <v>45838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0</v>
      </c>
    </row>
    <row r="1028" spans="1:8">
      <c r="A1028" s="594" t="str">
        <f t="shared" si="57"/>
        <v>Индустриален холдинг България АД</v>
      </c>
      <c r="B1028" s="594" t="str">
        <f t="shared" si="58"/>
        <v>121631219</v>
      </c>
      <c r="C1028" s="598">
        <f t="shared" si="59"/>
        <v>45838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0</v>
      </c>
    </row>
    <row r="1029" spans="1:8">
      <c r="A1029" s="594" t="str">
        <f t="shared" si="57"/>
        <v>Индустриален холдинг България АД</v>
      </c>
      <c r="B1029" s="594" t="str">
        <f t="shared" si="58"/>
        <v>121631219</v>
      </c>
      <c r="C1029" s="598">
        <f t="shared" si="59"/>
        <v>45838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0</v>
      </c>
    </row>
    <row r="1030" spans="1:8">
      <c r="A1030" s="594" t="str">
        <f t="shared" si="57"/>
        <v>Индустриален холдинг България АД</v>
      </c>
      <c r="B1030" s="594" t="str">
        <f t="shared" si="58"/>
        <v>121631219</v>
      </c>
      <c r="C1030" s="598">
        <f t="shared" si="59"/>
        <v>45838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>Индустриален холдинг България АД</v>
      </c>
      <c r="B1031" s="594" t="str">
        <f t="shared" si="58"/>
        <v>121631219</v>
      </c>
      <c r="C1031" s="598">
        <f t="shared" si="59"/>
        <v>45838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>Индустриален холдинг България АД</v>
      </c>
      <c r="B1032" s="594" t="str">
        <f t="shared" si="58"/>
        <v>121631219</v>
      </c>
      <c r="C1032" s="598">
        <f t="shared" si="59"/>
        <v>45838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>Индустриален холдинг България АД</v>
      </c>
      <c r="B1033" s="594" t="str">
        <f t="shared" si="58"/>
        <v>121631219</v>
      </c>
      <c r="C1033" s="598">
        <f t="shared" si="59"/>
        <v>45838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0</v>
      </c>
    </row>
    <row r="1034" spans="1:8">
      <c r="A1034" s="594" t="str">
        <f t="shared" si="57"/>
        <v>Индустриален холдинг България АД</v>
      </c>
      <c r="B1034" s="594" t="str">
        <f t="shared" si="58"/>
        <v>121631219</v>
      </c>
      <c r="C1034" s="598">
        <f t="shared" si="59"/>
        <v>45838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>Индустриален холдинг България АД</v>
      </c>
      <c r="B1035" s="594" t="str">
        <f t="shared" si="58"/>
        <v>121631219</v>
      </c>
      <c r="C1035" s="598">
        <f t="shared" si="59"/>
        <v>45838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0</v>
      </c>
    </row>
    <row r="1036" spans="1:8">
      <c r="A1036" s="594" t="str">
        <f t="shared" si="57"/>
        <v>Индустриален холдинг България АД</v>
      </c>
      <c r="B1036" s="594" t="str">
        <f t="shared" si="58"/>
        <v>121631219</v>
      </c>
      <c r="C1036" s="598">
        <f t="shared" si="59"/>
        <v>45838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>Индустриален холдинг България АД</v>
      </c>
      <c r="B1037" s="594" t="str">
        <f t="shared" si="58"/>
        <v>121631219</v>
      </c>
      <c r="C1037" s="598">
        <f t="shared" si="59"/>
        <v>45838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0</v>
      </c>
    </row>
    <row r="1038" spans="1:8">
      <c r="A1038" s="594" t="str">
        <f t="shared" si="57"/>
        <v>Индустриален холдинг България АД</v>
      </c>
      <c r="B1038" s="594" t="str">
        <f t="shared" si="58"/>
        <v>121631219</v>
      </c>
      <c r="C1038" s="598">
        <f t="shared" si="59"/>
        <v>45838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17112</v>
      </c>
    </row>
    <row r="1039" spans="1:8">
      <c r="A1039" s="594" t="str">
        <f t="shared" si="57"/>
        <v>Индустриален холдинг България АД</v>
      </c>
      <c r="B1039" s="594" t="str">
        <f t="shared" si="58"/>
        <v>121631219</v>
      </c>
      <c r="C1039" s="598">
        <f t="shared" si="59"/>
        <v>45838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0</v>
      </c>
    </row>
    <row r="1040" spans="1:8">
      <c r="A1040" s="594" t="str">
        <f t="shared" ref="A1040:A1103" si="60">pdeName</f>
        <v>Индустриален холдинг България АД</v>
      </c>
      <c r="B1040" s="594" t="str">
        <f t="shared" ref="B1040:B1103" si="61">pdeBulstat</f>
        <v>121631219</v>
      </c>
      <c r="C1040" s="598">
        <f t="shared" ref="C1040:C1103" si="62">endDate</f>
        <v>45838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8124</v>
      </c>
    </row>
    <row r="1041" spans="1:8">
      <c r="A1041" s="594" t="str">
        <f t="shared" si="60"/>
        <v>Индустриален холдинг България АД</v>
      </c>
      <c r="B1041" s="594" t="str">
        <f t="shared" si="61"/>
        <v>121631219</v>
      </c>
      <c r="C1041" s="598">
        <f t="shared" si="62"/>
        <v>45838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4474</v>
      </c>
    </row>
    <row r="1042" spans="1:8">
      <c r="A1042" s="594" t="str">
        <f t="shared" si="60"/>
        <v>Индустриален холдинг България АД</v>
      </c>
      <c r="B1042" s="594" t="str">
        <f t="shared" si="61"/>
        <v>121631219</v>
      </c>
      <c r="C1042" s="598">
        <f t="shared" si="62"/>
        <v>45838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2531</v>
      </c>
    </row>
    <row r="1043" spans="1:8">
      <c r="A1043" s="594" t="str">
        <f t="shared" si="60"/>
        <v>Индустриален холдинг България АД</v>
      </c>
      <c r="B1043" s="594" t="str">
        <f t="shared" si="61"/>
        <v>121631219</v>
      </c>
      <c r="C1043" s="598">
        <f t="shared" si="62"/>
        <v>45838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1206</v>
      </c>
    </row>
    <row r="1044" spans="1:8">
      <c r="A1044" s="594" t="str">
        <f t="shared" si="60"/>
        <v>Индустриален холдинг България АД</v>
      </c>
      <c r="B1044" s="594" t="str">
        <f t="shared" si="61"/>
        <v>121631219</v>
      </c>
      <c r="C1044" s="598">
        <f t="shared" si="62"/>
        <v>45838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725</v>
      </c>
    </row>
    <row r="1045" spans="1:8">
      <c r="A1045" s="594" t="str">
        <f t="shared" si="60"/>
        <v>Индустриален холдинг България АД</v>
      </c>
      <c r="B1045" s="594" t="str">
        <f t="shared" si="61"/>
        <v>121631219</v>
      </c>
      <c r="C1045" s="598">
        <f t="shared" si="62"/>
        <v>45838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107</v>
      </c>
    </row>
    <row r="1046" spans="1:8">
      <c r="A1046" s="594" t="str">
        <f t="shared" si="60"/>
        <v>Индустриален холдинг България АД</v>
      </c>
      <c r="B1046" s="594" t="str">
        <f t="shared" si="61"/>
        <v>121631219</v>
      </c>
      <c r="C1046" s="598">
        <f t="shared" si="62"/>
        <v>45838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374</v>
      </c>
    </row>
    <row r="1047" spans="1:8">
      <c r="A1047" s="594" t="str">
        <f t="shared" si="60"/>
        <v>Индустриален холдинг България АД</v>
      </c>
      <c r="B1047" s="594" t="str">
        <f t="shared" si="61"/>
        <v>121631219</v>
      </c>
      <c r="C1047" s="598">
        <f t="shared" si="62"/>
        <v>45838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777</v>
      </c>
    </row>
    <row r="1048" spans="1:8">
      <c r="A1048" s="594" t="str">
        <f t="shared" si="60"/>
        <v>Индустриален холдинг България АД</v>
      </c>
      <c r="B1048" s="594" t="str">
        <f t="shared" si="61"/>
        <v>121631219</v>
      </c>
      <c r="C1048" s="598">
        <f t="shared" si="62"/>
        <v>45838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913</v>
      </c>
    </row>
    <row r="1049" spans="1:8">
      <c r="A1049" s="594" t="str">
        <f t="shared" si="60"/>
        <v>Индустриален холдинг България АД</v>
      </c>
      <c r="B1049" s="594" t="str">
        <f t="shared" si="61"/>
        <v>121631219</v>
      </c>
      <c r="C1049" s="598">
        <f t="shared" si="62"/>
        <v>45838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18025</v>
      </c>
    </row>
    <row r="1050" spans="1:8">
      <c r="A1050" s="594" t="str">
        <f t="shared" si="60"/>
        <v>Индустриален холдинг България АД</v>
      </c>
      <c r="B1050" s="594" t="str">
        <f t="shared" si="61"/>
        <v>121631219</v>
      </c>
      <c r="C1050" s="598">
        <f t="shared" si="62"/>
        <v>45838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57365</v>
      </c>
    </row>
    <row r="1051" spans="1:8">
      <c r="A1051" s="594" t="str">
        <f t="shared" si="60"/>
        <v>Индустриален холдинг България АД</v>
      </c>
      <c r="B1051" s="594" t="str">
        <f t="shared" si="61"/>
        <v>121631219</v>
      </c>
      <c r="C1051" s="598">
        <f t="shared" si="62"/>
        <v>45838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86</v>
      </c>
    </row>
    <row r="1052" spans="1:8">
      <c r="A1052" s="594" t="str">
        <f t="shared" si="60"/>
        <v>Индустриален холдинг България АД</v>
      </c>
      <c r="B1052" s="594" t="str">
        <f t="shared" si="61"/>
        <v>121631219</v>
      </c>
      <c r="C1052" s="598">
        <f t="shared" si="62"/>
        <v>45838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86</v>
      </c>
    </row>
    <row r="1053" spans="1:8">
      <c r="A1053" s="594" t="str">
        <f t="shared" si="60"/>
        <v>Индустриален холдинг България АД</v>
      </c>
      <c r="B1053" s="594" t="str">
        <f t="shared" si="61"/>
        <v>121631219</v>
      </c>
      <c r="C1053" s="598">
        <f t="shared" si="62"/>
        <v>45838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>Индустриален холдинг България АД</v>
      </c>
      <c r="B1054" s="594" t="str">
        <f t="shared" si="61"/>
        <v>121631219</v>
      </c>
      <c r="C1054" s="598">
        <f t="shared" si="62"/>
        <v>45838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0</v>
      </c>
    </row>
    <row r="1055" spans="1:8">
      <c r="A1055" s="594" t="str">
        <f t="shared" si="60"/>
        <v>Индустриален холдинг България АД</v>
      </c>
      <c r="B1055" s="594" t="str">
        <f t="shared" si="61"/>
        <v>121631219</v>
      </c>
      <c r="C1055" s="598">
        <f t="shared" si="62"/>
        <v>45838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4333</v>
      </c>
    </row>
    <row r="1056" spans="1:8">
      <c r="A1056" s="594" t="str">
        <f t="shared" si="60"/>
        <v>Индустриален холдинг България АД</v>
      </c>
      <c r="B1056" s="594" t="str">
        <f t="shared" si="61"/>
        <v>121631219</v>
      </c>
      <c r="C1056" s="598">
        <f t="shared" si="62"/>
        <v>45838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4333</v>
      </c>
    </row>
    <row r="1057" spans="1:8">
      <c r="A1057" s="594" t="str">
        <f t="shared" si="60"/>
        <v>Индустриален холдинг България АД</v>
      </c>
      <c r="B1057" s="594" t="str">
        <f t="shared" si="61"/>
        <v>121631219</v>
      </c>
      <c r="C1057" s="598">
        <f t="shared" si="62"/>
        <v>45838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>Индустриален холдинг България АД</v>
      </c>
      <c r="B1058" s="594" t="str">
        <f t="shared" si="61"/>
        <v>121631219</v>
      </c>
      <c r="C1058" s="598">
        <f t="shared" si="62"/>
        <v>45838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>Индустриален холдинг България АД</v>
      </c>
      <c r="B1059" s="594" t="str">
        <f t="shared" si="61"/>
        <v>121631219</v>
      </c>
      <c r="C1059" s="598">
        <f t="shared" si="62"/>
        <v>45838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>Индустриален холдинг България АД</v>
      </c>
      <c r="B1060" s="594" t="str">
        <f t="shared" si="61"/>
        <v>121631219</v>
      </c>
      <c r="C1060" s="598">
        <f t="shared" si="62"/>
        <v>45838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>Индустриален холдинг България АД</v>
      </c>
      <c r="B1061" s="594" t="str">
        <f t="shared" si="61"/>
        <v>121631219</v>
      </c>
      <c r="C1061" s="598">
        <f t="shared" si="62"/>
        <v>45838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>Индустриален холдинг България АД</v>
      </c>
      <c r="B1062" s="594" t="str">
        <f t="shared" si="61"/>
        <v>121631219</v>
      </c>
      <c r="C1062" s="598">
        <f t="shared" si="62"/>
        <v>45838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>Индустриален холдинг България АД</v>
      </c>
      <c r="B1063" s="594" t="str">
        <f t="shared" si="61"/>
        <v>121631219</v>
      </c>
      <c r="C1063" s="598">
        <f t="shared" si="62"/>
        <v>45838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294</v>
      </c>
    </row>
    <row r="1064" spans="1:8">
      <c r="A1064" s="594" t="str">
        <f t="shared" si="60"/>
        <v>Индустриален холдинг България АД</v>
      </c>
      <c r="B1064" s="594" t="str">
        <f t="shared" si="61"/>
        <v>121631219</v>
      </c>
      <c r="C1064" s="598">
        <f t="shared" si="62"/>
        <v>45838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>Индустриален холдинг България АД</v>
      </c>
      <c r="B1065" s="594" t="str">
        <f t="shared" si="61"/>
        <v>121631219</v>
      </c>
      <c r="C1065" s="598">
        <f t="shared" si="62"/>
        <v>45838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4713</v>
      </c>
    </row>
    <row r="1066" spans="1:8">
      <c r="A1066" s="594" t="str">
        <f t="shared" si="60"/>
        <v>Индустриален холдинг България АД</v>
      </c>
      <c r="B1066" s="594" t="str">
        <f t="shared" si="61"/>
        <v>121631219</v>
      </c>
      <c r="C1066" s="598">
        <f t="shared" si="62"/>
        <v>45838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>Индустриален холдинг България АД</v>
      </c>
      <c r="B1067" s="594" t="str">
        <f t="shared" si="61"/>
        <v>121631219</v>
      </c>
      <c r="C1067" s="598">
        <f t="shared" si="62"/>
        <v>45838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0</v>
      </c>
    </row>
    <row r="1068" spans="1:8">
      <c r="A1068" s="594" t="str">
        <f t="shared" si="60"/>
        <v>Индустриален холдинг България АД</v>
      </c>
      <c r="B1068" s="594" t="str">
        <f t="shared" si="61"/>
        <v>121631219</v>
      </c>
      <c r="C1068" s="598">
        <f t="shared" si="62"/>
        <v>45838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0</v>
      </c>
    </row>
    <row r="1069" spans="1:8">
      <c r="A1069" s="594" t="str">
        <f t="shared" si="60"/>
        <v>Индустриален холдинг България АД</v>
      </c>
      <c r="B1069" s="594" t="str">
        <f t="shared" si="61"/>
        <v>121631219</v>
      </c>
      <c r="C1069" s="598">
        <f t="shared" si="62"/>
        <v>45838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>Индустриален холдинг България АД</v>
      </c>
      <c r="B1070" s="594" t="str">
        <f t="shared" si="61"/>
        <v>121631219</v>
      </c>
      <c r="C1070" s="598">
        <f t="shared" si="62"/>
        <v>45838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0</v>
      </c>
    </row>
    <row r="1071" spans="1:8">
      <c r="A1071" s="594" t="str">
        <f t="shared" si="60"/>
        <v>Индустриален холдинг България АД</v>
      </c>
      <c r="B1071" s="594" t="str">
        <f t="shared" si="61"/>
        <v>121631219</v>
      </c>
      <c r="C1071" s="598">
        <f t="shared" si="62"/>
        <v>45838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0</v>
      </c>
    </row>
    <row r="1072" spans="1:8">
      <c r="A1072" s="594" t="str">
        <f t="shared" si="60"/>
        <v>Индустриален холдинг България АД</v>
      </c>
      <c r="B1072" s="594" t="str">
        <f t="shared" si="61"/>
        <v>121631219</v>
      </c>
      <c r="C1072" s="598">
        <f t="shared" si="62"/>
        <v>45838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0</v>
      </c>
    </row>
    <row r="1073" spans="1:8">
      <c r="A1073" s="594" t="str">
        <f t="shared" si="60"/>
        <v>Индустриален холдинг България АД</v>
      </c>
      <c r="B1073" s="594" t="str">
        <f t="shared" si="61"/>
        <v>121631219</v>
      </c>
      <c r="C1073" s="598">
        <f t="shared" si="62"/>
        <v>45838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>Индустриален холдинг България АД</v>
      </c>
      <c r="B1074" s="594" t="str">
        <f t="shared" si="61"/>
        <v>121631219</v>
      </c>
      <c r="C1074" s="598">
        <f t="shared" si="62"/>
        <v>45838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>Индустриален холдинг България АД</v>
      </c>
      <c r="B1075" s="594" t="str">
        <f t="shared" si="61"/>
        <v>121631219</v>
      </c>
      <c r="C1075" s="598">
        <f t="shared" si="62"/>
        <v>45838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>Индустриален холдинг България АД</v>
      </c>
      <c r="B1076" s="594" t="str">
        <f t="shared" si="61"/>
        <v>121631219</v>
      </c>
      <c r="C1076" s="598">
        <f t="shared" si="62"/>
        <v>45838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0</v>
      </c>
    </row>
    <row r="1077" spans="1:8">
      <c r="A1077" s="594" t="str">
        <f t="shared" si="60"/>
        <v>Индустриален холдинг България АД</v>
      </c>
      <c r="B1077" s="594" t="str">
        <f t="shared" si="61"/>
        <v>121631219</v>
      </c>
      <c r="C1077" s="598">
        <f t="shared" si="62"/>
        <v>45838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>Индустриален холдинг България АД</v>
      </c>
      <c r="B1078" s="594" t="str">
        <f t="shared" si="61"/>
        <v>121631219</v>
      </c>
      <c r="C1078" s="598">
        <f t="shared" si="62"/>
        <v>45838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0</v>
      </c>
    </row>
    <row r="1079" spans="1:8">
      <c r="A1079" s="594" t="str">
        <f t="shared" si="60"/>
        <v>Индустриален холдинг България АД</v>
      </c>
      <c r="B1079" s="594" t="str">
        <f t="shared" si="61"/>
        <v>121631219</v>
      </c>
      <c r="C1079" s="598">
        <f t="shared" si="62"/>
        <v>45838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>Индустриален холдинг България АД</v>
      </c>
      <c r="B1080" s="594" t="str">
        <f t="shared" si="61"/>
        <v>121631219</v>
      </c>
      <c r="C1080" s="598">
        <f t="shared" si="62"/>
        <v>45838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0</v>
      </c>
    </row>
    <row r="1081" spans="1:8">
      <c r="A1081" s="594" t="str">
        <f t="shared" si="60"/>
        <v>Индустриален холдинг България АД</v>
      </c>
      <c r="B1081" s="594" t="str">
        <f t="shared" si="61"/>
        <v>121631219</v>
      </c>
      <c r="C1081" s="598">
        <f t="shared" si="62"/>
        <v>45838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17112</v>
      </c>
    </row>
    <row r="1082" spans="1:8">
      <c r="A1082" s="594" t="str">
        <f t="shared" si="60"/>
        <v>Индустриален холдинг България АД</v>
      </c>
      <c r="B1082" s="594" t="str">
        <f t="shared" si="61"/>
        <v>121631219</v>
      </c>
      <c r="C1082" s="598">
        <f t="shared" si="62"/>
        <v>45838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0</v>
      </c>
    </row>
    <row r="1083" spans="1:8">
      <c r="A1083" s="594" t="str">
        <f t="shared" si="60"/>
        <v>Индустриален холдинг България АД</v>
      </c>
      <c r="B1083" s="594" t="str">
        <f t="shared" si="61"/>
        <v>121631219</v>
      </c>
      <c r="C1083" s="598">
        <f t="shared" si="62"/>
        <v>45838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8124</v>
      </c>
    </row>
    <row r="1084" spans="1:8">
      <c r="A1084" s="594" t="str">
        <f t="shared" si="60"/>
        <v>Индустриален холдинг България АД</v>
      </c>
      <c r="B1084" s="594" t="str">
        <f t="shared" si="61"/>
        <v>121631219</v>
      </c>
      <c r="C1084" s="598">
        <f t="shared" si="62"/>
        <v>45838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4474</v>
      </c>
    </row>
    <row r="1085" spans="1:8">
      <c r="A1085" s="594" t="str">
        <f t="shared" si="60"/>
        <v>Индустриален холдинг България АД</v>
      </c>
      <c r="B1085" s="594" t="str">
        <f t="shared" si="61"/>
        <v>121631219</v>
      </c>
      <c r="C1085" s="598">
        <f t="shared" si="62"/>
        <v>45838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2531</v>
      </c>
    </row>
    <row r="1086" spans="1:8">
      <c r="A1086" s="594" t="str">
        <f t="shared" si="60"/>
        <v>Индустриален холдинг България АД</v>
      </c>
      <c r="B1086" s="594" t="str">
        <f t="shared" si="61"/>
        <v>121631219</v>
      </c>
      <c r="C1086" s="598">
        <f t="shared" si="62"/>
        <v>45838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1206</v>
      </c>
    </row>
    <row r="1087" spans="1:8">
      <c r="A1087" s="594" t="str">
        <f t="shared" si="60"/>
        <v>Индустриален холдинг България АД</v>
      </c>
      <c r="B1087" s="594" t="str">
        <f t="shared" si="61"/>
        <v>121631219</v>
      </c>
      <c r="C1087" s="598">
        <f t="shared" si="62"/>
        <v>45838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725</v>
      </c>
    </row>
    <row r="1088" spans="1:8">
      <c r="A1088" s="594" t="str">
        <f t="shared" si="60"/>
        <v>Индустриален холдинг България АД</v>
      </c>
      <c r="B1088" s="594" t="str">
        <f t="shared" si="61"/>
        <v>121631219</v>
      </c>
      <c r="C1088" s="598">
        <f t="shared" si="62"/>
        <v>45838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107</v>
      </c>
    </row>
    <row r="1089" spans="1:8">
      <c r="A1089" s="594" t="str">
        <f t="shared" si="60"/>
        <v>Индустриален холдинг България АД</v>
      </c>
      <c r="B1089" s="594" t="str">
        <f t="shared" si="61"/>
        <v>121631219</v>
      </c>
      <c r="C1089" s="598">
        <f t="shared" si="62"/>
        <v>45838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374</v>
      </c>
    </row>
    <row r="1090" spans="1:8">
      <c r="A1090" s="594" t="str">
        <f t="shared" si="60"/>
        <v>Индустриален холдинг България АД</v>
      </c>
      <c r="B1090" s="594" t="str">
        <f t="shared" si="61"/>
        <v>121631219</v>
      </c>
      <c r="C1090" s="598">
        <f t="shared" si="62"/>
        <v>45838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777</v>
      </c>
    </row>
    <row r="1091" spans="1:8">
      <c r="A1091" s="594" t="str">
        <f t="shared" si="60"/>
        <v>Индустриален холдинг България АД</v>
      </c>
      <c r="B1091" s="594" t="str">
        <f t="shared" si="61"/>
        <v>121631219</v>
      </c>
      <c r="C1091" s="598">
        <f t="shared" si="62"/>
        <v>45838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913</v>
      </c>
    </row>
    <row r="1092" spans="1:8">
      <c r="A1092" s="594" t="str">
        <f t="shared" si="60"/>
        <v>Индустриален холдинг България АД</v>
      </c>
      <c r="B1092" s="594" t="str">
        <f t="shared" si="61"/>
        <v>121631219</v>
      </c>
      <c r="C1092" s="598">
        <f t="shared" si="62"/>
        <v>45838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18025</v>
      </c>
    </row>
    <row r="1093" spans="1:8">
      <c r="A1093" s="594" t="str">
        <f t="shared" si="60"/>
        <v>Индустриален холдинг България АД</v>
      </c>
      <c r="B1093" s="594" t="str">
        <f t="shared" si="61"/>
        <v>121631219</v>
      </c>
      <c r="C1093" s="598">
        <f t="shared" si="62"/>
        <v>45838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22738</v>
      </c>
    </row>
    <row r="1094" spans="1:8">
      <c r="A1094" s="594" t="str">
        <f t="shared" si="60"/>
        <v>Индустриален холдинг България АД</v>
      </c>
      <c r="B1094" s="594" t="str">
        <f t="shared" si="61"/>
        <v>121631219</v>
      </c>
      <c r="C1094" s="598">
        <f t="shared" si="62"/>
        <v>45838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10511</v>
      </c>
    </row>
    <row r="1095" spans="1:8">
      <c r="A1095" s="594" t="str">
        <f t="shared" si="60"/>
        <v>Индустриален холдинг България АД</v>
      </c>
      <c r="B1095" s="594" t="str">
        <f t="shared" si="61"/>
        <v>121631219</v>
      </c>
      <c r="C1095" s="598">
        <f t="shared" si="62"/>
        <v>45838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10500</v>
      </c>
    </row>
    <row r="1096" spans="1:8">
      <c r="A1096" s="594" t="str">
        <f t="shared" si="60"/>
        <v>Индустриален холдинг България АД</v>
      </c>
      <c r="B1096" s="594" t="str">
        <f t="shared" si="61"/>
        <v>121631219</v>
      </c>
      <c r="C1096" s="598">
        <f t="shared" si="62"/>
        <v>45838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>Индустриален холдинг България АД</v>
      </c>
      <c r="B1097" s="594" t="str">
        <f t="shared" si="61"/>
        <v>121631219</v>
      </c>
      <c r="C1097" s="598">
        <f t="shared" si="62"/>
        <v>45838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11</v>
      </c>
    </row>
    <row r="1098" spans="1:8">
      <c r="A1098" s="594" t="str">
        <f t="shared" si="60"/>
        <v>Индустриален холдинг България АД</v>
      </c>
      <c r="B1098" s="594" t="str">
        <f t="shared" si="61"/>
        <v>121631219</v>
      </c>
      <c r="C1098" s="598">
        <f t="shared" si="62"/>
        <v>45838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10442</v>
      </c>
    </row>
    <row r="1099" spans="1:8">
      <c r="A1099" s="594" t="str">
        <f t="shared" si="60"/>
        <v>Индустриален холдинг България АД</v>
      </c>
      <c r="B1099" s="594" t="str">
        <f t="shared" si="61"/>
        <v>121631219</v>
      </c>
      <c r="C1099" s="598">
        <f t="shared" si="62"/>
        <v>45838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10442</v>
      </c>
    </row>
    <row r="1100" spans="1:8">
      <c r="A1100" s="594" t="str">
        <f t="shared" si="60"/>
        <v>Индустриален холдинг България АД</v>
      </c>
      <c r="B1100" s="594" t="str">
        <f t="shared" si="61"/>
        <v>121631219</v>
      </c>
      <c r="C1100" s="598">
        <f t="shared" si="62"/>
        <v>45838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>Индустриален холдинг България АД</v>
      </c>
      <c r="B1101" s="594" t="str">
        <f t="shared" si="61"/>
        <v>121631219</v>
      </c>
      <c r="C1101" s="598">
        <f t="shared" si="62"/>
        <v>45838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>Индустриален холдинг България АД</v>
      </c>
      <c r="B1102" s="594" t="str">
        <f t="shared" si="61"/>
        <v>121631219</v>
      </c>
      <c r="C1102" s="598">
        <f t="shared" si="62"/>
        <v>45838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>Индустриален холдинг България АД</v>
      </c>
      <c r="B1103" s="594" t="str">
        <f t="shared" si="61"/>
        <v>121631219</v>
      </c>
      <c r="C1103" s="598">
        <f t="shared" si="62"/>
        <v>45838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>Индустриален холдинг България АД</v>
      </c>
      <c r="B1104" s="594" t="str">
        <f t="shared" ref="B1104:B1167" si="64">pdeBulstat</f>
        <v>121631219</v>
      </c>
      <c r="C1104" s="598">
        <f t="shared" ref="C1104:C1167" si="65">endDate</f>
        <v>45838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0</v>
      </c>
    </row>
    <row r="1105" spans="1:8">
      <c r="A1105" s="594" t="str">
        <f t="shared" si="63"/>
        <v>Индустриален холдинг България АД</v>
      </c>
      <c r="B1105" s="594" t="str">
        <f t="shared" si="64"/>
        <v>121631219</v>
      </c>
      <c r="C1105" s="598">
        <f t="shared" si="65"/>
        <v>45838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0</v>
      </c>
    </row>
    <row r="1106" spans="1:8">
      <c r="A1106" s="594" t="str">
        <f t="shared" si="63"/>
        <v>Индустриален холдинг България АД</v>
      </c>
      <c r="B1106" s="594" t="str">
        <f t="shared" si="64"/>
        <v>121631219</v>
      </c>
      <c r="C1106" s="598">
        <f t="shared" si="65"/>
        <v>45838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2035</v>
      </c>
    </row>
    <row r="1107" spans="1:8">
      <c r="A1107" s="594" t="str">
        <f t="shared" si="63"/>
        <v>Индустриален холдинг България АД</v>
      </c>
      <c r="B1107" s="594" t="str">
        <f t="shared" si="64"/>
        <v>121631219</v>
      </c>
      <c r="C1107" s="598">
        <f t="shared" si="65"/>
        <v>45838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0</v>
      </c>
    </row>
    <row r="1108" spans="1:8">
      <c r="A1108" s="594" t="str">
        <f t="shared" si="63"/>
        <v>Индустриален холдинг България АД</v>
      </c>
      <c r="B1108" s="594" t="str">
        <f t="shared" si="64"/>
        <v>121631219</v>
      </c>
      <c r="C1108" s="598">
        <f t="shared" si="65"/>
        <v>45838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22988</v>
      </c>
    </row>
    <row r="1109" spans="1:8">
      <c r="A1109" s="594" t="str">
        <f t="shared" si="63"/>
        <v>Индустриален холдинг България АД</v>
      </c>
      <c r="B1109" s="594" t="str">
        <f t="shared" si="64"/>
        <v>121631219</v>
      </c>
      <c r="C1109" s="598">
        <f t="shared" si="65"/>
        <v>45838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11639</v>
      </c>
    </row>
    <row r="1110" spans="1:8">
      <c r="A1110" s="594" t="str">
        <f t="shared" si="63"/>
        <v>Индустриален холдинг България АД</v>
      </c>
      <c r="B1110" s="594" t="str">
        <f t="shared" si="64"/>
        <v>121631219</v>
      </c>
      <c r="C1110" s="598">
        <f t="shared" si="65"/>
        <v>45838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>Индустриален холдинг България АД</v>
      </c>
      <c r="B1111" s="594" t="str">
        <f t="shared" si="64"/>
        <v>121631219</v>
      </c>
      <c r="C1111" s="598">
        <f t="shared" si="65"/>
        <v>45838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>Индустриален холдинг България АД</v>
      </c>
      <c r="B1112" s="594" t="str">
        <f t="shared" si="64"/>
        <v>121631219</v>
      </c>
      <c r="C1112" s="598">
        <f t="shared" si="65"/>
        <v>45838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>Индустриален холдинг България АД</v>
      </c>
      <c r="B1113" s="594" t="str">
        <f t="shared" si="64"/>
        <v>121631219</v>
      </c>
      <c r="C1113" s="598">
        <f t="shared" si="65"/>
        <v>45838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>Индустриален холдинг България АД</v>
      </c>
      <c r="B1114" s="594" t="str">
        <f t="shared" si="64"/>
        <v>121631219</v>
      </c>
      <c r="C1114" s="598">
        <f t="shared" si="65"/>
        <v>45838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>Индустриален холдинг България АД</v>
      </c>
      <c r="B1115" s="594" t="str">
        <f t="shared" si="64"/>
        <v>121631219</v>
      </c>
      <c r="C1115" s="598">
        <f t="shared" si="65"/>
        <v>45838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>Индустриален холдинг България АД</v>
      </c>
      <c r="B1116" s="594" t="str">
        <f t="shared" si="64"/>
        <v>121631219</v>
      </c>
      <c r="C1116" s="598">
        <f t="shared" si="65"/>
        <v>45838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>Индустриален холдинг България АД</v>
      </c>
      <c r="B1117" s="594" t="str">
        <f t="shared" si="64"/>
        <v>121631219</v>
      </c>
      <c r="C1117" s="598">
        <f t="shared" si="65"/>
        <v>45838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>Индустриален холдинг България АД</v>
      </c>
      <c r="B1118" s="594" t="str">
        <f t="shared" si="64"/>
        <v>121631219</v>
      </c>
      <c r="C1118" s="598">
        <f t="shared" si="65"/>
        <v>45838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>Индустриален холдинг България АД</v>
      </c>
      <c r="B1119" s="594" t="str">
        <f t="shared" si="64"/>
        <v>121631219</v>
      </c>
      <c r="C1119" s="598">
        <f t="shared" si="65"/>
        <v>45838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>Индустриален холдинг България АД</v>
      </c>
      <c r="B1120" s="594" t="str">
        <f t="shared" si="64"/>
        <v>121631219</v>
      </c>
      <c r="C1120" s="598">
        <f t="shared" si="65"/>
        <v>45838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>Индустриален холдинг България АД</v>
      </c>
      <c r="B1121" s="594" t="str">
        <f t="shared" si="64"/>
        <v>121631219</v>
      </c>
      <c r="C1121" s="598">
        <f t="shared" si="65"/>
        <v>45838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>Индустриален холдинг България АД</v>
      </c>
      <c r="B1122" s="594" t="str">
        <f t="shared" si="64"/>
        <v>121631219</v>
      </c>
      <c r="C1122" s="598">
        <f t="shared" si="65"/>
        <v>45838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>Индустриален холдинг България АД</v>
      </c>
      <c r="B1123" s="594" t="str">
        <f t="shared" si="64"/>
        <v>121631219</v>
      </c>
      <c r="C1123" s="598">
        <f t="shared" si="65"/>
        <v>45838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>Индустриален холдинг България АД</v>
      </c>
      <c r="B1124" s="594" t="str">
        <f t="shared" si="64"/>
        <v>121631219</v>
      </c>
      <c r="C1124" s="598">
        <f t="shared" si="65"/>
        <v>45838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0</v>
      </c>
    </row>
    <row r="1125" spans="1:8">
      <c r="A1125" s="594" t="str">
        <f t="shared" si="63"/>
        <v>Индустриален холдинг България АД</v>
      </c>
      <c r="B1125" s="594" t="str">
        <f t="shared" si="64"/>
        <v>121631219</v>
      </c>
      <c r="C1125" s="598">
        <f t="shared" si="65"/>
        <v>45838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>Индустриален холдинг България АД</v>
      </c>
      <c r="B1126" s="594" t="str">
        <f t="shared" si="64"/>
        <v>121631219</v>
      </c>
      <c r="C1126" s="598">
        <f t="shared" si="65"/>
        <v>45838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0</v>
      </c>
    </row>
    <row r="1127" spans="1:8">
      <c r="A1127" s="594" t="str">
        <f t="shared" si="63"/>
        <v>Индустриален холдинг България АД</v>
      </c>
      <c r="B1127" s="594" t="str">
        <f t="shared" si="64"/>
        <v>121631219</v>
      </c>
      <c r="C1127" s="598">
        <f t="shared" si="65"/>
        <v>45838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>Индустриален холдинг България АД</v>
      </c>
      <c r="B1128" s="594" t="str">
        <f t="shared" si="64"/>
        <v>121631219</v>
      </c>
      <c r="C1128" s="598">
        <f t="shared" si="65"/>
        <v>45838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0</v>
      </c>
    </row>
    <row r="1129" spans="1:8">
      <c r="A1129" s="594" t="str">
        <f t="shared" si="63"/>
        <v>Индустриален холдинг България АД</v>
      </c>
      <c r="B1129" s="594" t="str">
        <f t="shared" si="64"/>
        <v>121631219</v>
      </c>
      <c r="C1129" s="598">
        <f t="shared" si="65"/>
        <v>45838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0</v>
      </c>
    </row>
    <row r="1130" spans="1:8">
      <c r="A1130" s="594" t="str">
        <f t="shared" si="63"/>
        <v>Индустриален холдинг България АД</v>
      </c>
      <c r="B1130" s="594" t="str">
        <f t="shared" si="64"/>
        <v>121631219</v>
      </c>
      <c r="C1130" s="598">
        <f t="shared" si="65"/>
        <v>45838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>Индустриален холдинг България АД</v>
      </c>
      <c r="B1131" s="594" t="str">
        <f t="shared" si="64"/>
        <v>121631219</v>
      </c>
      <c r="C1131" s="598">
        <f t="shared" si="65"/>
        <v>45838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>Индустриален холдинг България АД</v>
      </c>
      <c r="B1132" s="594" t="str">
        <f t="shared" si="64"/>
        <v>121631219</v>
      </c>
      <c r="C1132" s="598">
        <f t="shared" si="65"/>
        <v>45838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0</v>
      </c>
    </row>
    <row r="1133" spans="1:8">
      <c r="A1133" s="594" t="str">
        <f t="shared" si="63"/>
        <v>Индустриален холдинг България АД</v>
      </c>
      <c r="B1133" s="594" t="str">
        <f t="shared" si="64"/>
        <v>121631219</v>
      </c>
      <c r="C1133" s="598">
        <f t="shared" si="65"/>
        <v>45838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0</v>
      </c>
    </row>
    <row r="1134" spans="1:8">
      <c r="A1134" s="594" t="str">
        <f t="shared" si="63"/>
        <v>Индустриален холдинг България АД</v>
      </c>
      <c r="B1134" s="594" t="str">
        <f t="shared" si="64"/>
        <v>121631219</v>
      </c>
      <c r="C1134" s="598">
        <f t="shared" si="65"/>
        <v>45838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0</v>
      </c>
    </row>
    <row r="1135" spans="1:8">
      <c r="A1135" s="594" t="str">
        <f t="shared" si="63"/>
        <v>Индустриален холдинг България АД</v>
      </c>
      <c r="B1135" s="594" t="str">
        <f t="shared" si="64"/>
        <v>121631219</v>
      </c>
      <c r="C1135" s="598">
        <f t="shared" si="65"/>
        <v>45838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0</v>
      </c>
    </row>
    <row r="1136" spans="1:8">
      <c r="A1136" s="594" t="str">
        <f t="shared" si="63"/>
        <v>Индустриален холдинг България АД</v>
      </c>
      <c r="B1136" s="594" t="str">
        <f t="shared" si="64"/>
        <v>121631219</v>
      </c>
      <c r="C1136" s="598">
        <f t="shared" si="65"/>
        <v>45838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34627</v>
      </c>
    </row>
    <row r="1137" spans="1:8">
      <c r="A1137" s="594" t="str">
        <f t="shared" si="63"/>
        <v>Индустриален холдинг България АД</v>
      </c>
      <c r="B1137" s="594" t="str">
        <f t="shared" si="64"/>
        <v>121631219</v>
      </c>
      <c r="C1137" s="598">
        <f t="shared" si="65"/>
        <v>45838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>Индустриален холдинг България АД</v>
      </c>
      <c r="B1138" s="594" t="str">
        <f t="shared" si="64"/>
        <v>121631219</v>
      </c>
      <c r="C1138" s="598">
        <f t="shared" si="65"/>
        <v>45838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>Индустриален холдинг България АД</v>
      </c>
      <c r="B1139" s="594" t="str">
        <f t="shared" si="64"/>
        <v>121631219</v>
      </c>
      <c r="C1139" s="598">
        <f t="shared" si="65"/>
        <v>45838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>Индустриален холдинг България АД</v>
      </c>
      <c r="B1140" s="594" t="str">
        <f t="shared" si="64"/>
        <v>121631219</v>
      </c>
      <c r="C1140" s="598">
        <f t="shared" si="65"/>
        <v>45838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>Индустриален холдинг България АД</v>
      </c>
      <c r="B1141" s="594" t="str">
        <f t="shared" si="64"/>
        <v>121631219</v>
      </c>
      <c r="C1141" s="598">
        <f t="shared" si="65"/>
        <v>45838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>Индустриален холдинг България АД</v>
      </c>
      <c r="B1142" s="594" t="str">
        <f t="shared" si="64"/>
        <v>121631219</v>
      </c>
      <c r="C1142" s="598">
        <f t="shared" si="65"/>
        <v>45838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>Индустриален холдинг България АД</v>
      </c>
      <c r="B1143" s="594" t="str">
        <f t="shared" si="64"/>
        <v>121631219</v>
      </c>
      <c r="C1143" s="598">
        <f t="shared" si="65"/>
        <v>45838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>Индустриален холдинг България АД</v>
      </c>
      <c r="B1144" s="594" t="str">
        <f t="shared" si="64"/>
        <v>121631219</v>
      </c>
      <c r="C1144" s="598">
        <f t="shared" si="65"/>
        <v>45838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>Индустриален холдинг България АД</v>
      </c>
      <c r="B1145" s="594" t="str">
        <f t="shared" si="64"/>
        <v>121631219</v>
      </c>
      <c r="C1145" s="598">
        <f t="shared" si="65"/>
        <v>45838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>Индустриален холдинг България АД</v>
      </c>
      <c r="B1146" s="594" t="str">
        <f t="shared" si="64"/>
        <v>121631219</v>
      </c>
      <c r="C1146" s="598">
        <f t="shared" si="65"/>
        <v>45838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>Индустриален холдинг България АД</v>
      </c>
      <c r="B1147" s="594" t="str">
        <f t="shared" si="64"/>
        <v>121631219</v>
      </c>
      <c r="C1147" s="598">
        <f t="shared" si="65"/>
        <v>45838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>Индустриален холдинг България АД</v>
      </c>
      <c r="B1148" s="594" t="str">
        <f t="shared" si="64"/>
        <v>121631219</v>
      </c>
      <c r="C1148" s="598">
        <f t="shared" si="65"/>
        <v>45838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>Индустриален холдинг България АД</v>
      </c>
      <c r="B1149" s="594" t="str">
        <f t="shared" si="64"/>
        <v>121631219</v>
      </c>
      <c r="C1149" s="598">
        <f t="shared" si="65"/>
        <v>45838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>Индустриален холдинг България АД</v>
      </c>
      <c r="B1150" s="594" t="str">
        <f t="shared" si="64"/>
        <v>121631219</v>
      </c>
      <c r="C1150" s="598">
        <f t="shared" si="65"/>
        <v>45838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>Индустриален холдинг България АД</v>
      </c>
      <c r="B1151" s="594" t="str">
        <f t="shared" si="64"/>
        <v>121631219</v>
      </c>
      <c r="C1151" s="598">
        <f t="shared" si="65"/>
        <v>45838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>Индустриален холдинг България АД</v>
      </c>
      <c r="B1152" s="594" t="str">
        <f t="shared" si="64"/>
        <v>121631219</v>
      </c>
      <c r="C1152" s="598">
        <f t="shared" si="65"/>
        <v>45838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>Индустриален холдинг България АД</v>
      </c>
      <c r="B1153" s="594" t="str">
        <f t="shared" si="64"/>
        <v>121631219</v>
      </c>
      <c r="C1153" s="598">
        <f t="shared" si="65"/>
        <v>45838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>Индустриален холдинг България АД</v>
      </c>
      <c r="B1154" s="594" t="str">
        <f t="shared" si="64"/>
        <v>121631219</v>
      </c>
      <c r="C1154" s="598">
        <f t="shared" si="65"/>
        <v>45838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>Индустриален холдинг България АД</v>
      </c>
      <c r="B1155" s="594" t="str">
        <f t="shared" si="64"/>
        <v>121631219</v>
      </c>
      <c r="C1155" s="598">
        <f t="shared" si="65"/>
        <v>45838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>Индустриален холдинг България АД</v>
      </c>
      <c r="B1156" s="594" t="str">
        <f t="shared" si="64"/>
        <v>121631219</v>
      </c>
      <c r="C1156" s="598">
        <f t="shared" si="65"/>
        <v>45838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>Индустриален холдинг България АД</v>
      </c>
      <c r="B1157" s="594" t="str">
        <f t="shared" si="64"/>
        <v>121631219</v>
      </c>
      <c r="C1157" s="598">
        <f t="shared" si="65"/>
        <v>45838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>Индустриален холдинг България АД</v>
      </c>
      <c r="B1158" s="594" t="str">
        <f t="shared" si="64"/>
        <v>121631219</v>
      </c>
      <c r="C1158" s="598">
        <f t="shared" si="65"/>
        <v>45838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>Индустриален холдинг България АД</v>
      </c>
      <c r="B1159" s="594" t="str">
        <f t="shared" si="64"/>
        <v>121631219</v>
      </c>
      <c r="C1159" s="598">
        <f t="shared" si="65"/>
        <v>45838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>Индустриален холдинг България АД</v>
      </c>
      <c r="B1160" s="594" t="str">
        <f t="shared" si="64"/>
        <v>121631219</v>
      </c>
      <c r="C1160" s="598">
        <f t="shared" si="65"/>
        <v>45838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>Индустриален холдинг България АД</v>
      </c>
      <c r="B1161" s="594" t="str">
        <f t="shared" si="64"/>
        <v>121631219</v>
      </c>
      <c r="C1161" s="598">
        <f t="shared" si="65"/>
        <v>45838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>Индустриален холдинг България АД</v>
      </c>
      <c r="B1162" s="594" t="str">
        <f t="shared" si="64"/>
        <v>121631219</v>
      </c>
      <c r="C1162" s="598">
        <f t="shared" si="65"/>
        <v>45838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>Индустриален холдинг България АД</v>
      </c>
      <c r="B1163" s="594" t="str">
        <f t="shared" si="64"/>
        <v>121631219</v>
      </c>
      <c r="C1163" s="598">
        <f t="shared" si="65"/>
        <v>45838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>Индустриален холдинг България АД</v>
      </c>
      <c r="B1164" s="594" t="str">
        <f t="shared" si="64"/>
        <v>121631219</v>
      </c>
      <c r="C1164" s="598">
        <f t="shared" si="65"/>
        <v>45838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>Индустриален холдинг България АД</v>
      </c>
      <c r="B1165" s="594" t="str">
        <f t="shared" si="64"/>
        <v>121631219</v>
      </c>
      <c r="C1165" s="598">
        <f t="shared" si="65"/>
        <v>45838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>Индустриален холдинг България АД</v>
      </c>
      <c r="B1166" s="594" t="str">
        <f t="shared" si="64"/>
        <v>121631219</v>
      </c>
      <c r="C1166" s="598">
        <f t="shared" si="65"/>
        <v>45838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>Индустриален холдинг България АД</v>
      </c>
      <c r="B1167" s="594" t="str">
        <f t="shared" si="64"/>
        <v>121631219</v>
      </c>
      <c r="C1167" s="598">
        <f t="shared" si="65"/>
        <v>45838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>Индустриален холдинг България АД</v>
      </c>
      <c r="B1168" s="594" t="str">
        <f t="shared" ref="B1168:B1195" si="67">pdeBulstat</f>
        <v>121631219</v>
      </c>
      <c r="C1168" s="598">
        <f t="shared" ref="C1168:C1195" si="68">endDate</f>
        <v>45838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>Индустриален холдинг България АД</v>
      </c>
      <c r="B1169" s="594" t="str">
        <f t="shared" si="67"/>
        <v>121631219</v>
      </c>
      <c r="C1169" s="598">
        <f t="shared" si="68"/>
        <v>45838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>Индустриален холдинг България АД</v>
      </c>
      <c r="B1170" s="594" t="str">
        <f t="shared" si="67"/>
        <v>121631219</v>
      </c>
      <c r="C1170" s="598">
        <f t="shared" si="68"/>
        <v>45838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>Индустриален холдинг България АД</v>
      </c>
      <c r="B1171" s="594" t="str">
        <f t="shared" si="67"/>
        <v>121631219</v>
      </c>
      <c r="C1171" s="598">
        <f t="shared" si="68"/>
        <v>45838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>Индустриален холдинг България АД</v>
      </c>
      <c r="B1172" s="594" t="str">
        <f t="shared" si="67"/>
        <v>121631219</v>
      </c>
      <c r="C1172" s="598">
        <f t="shared" si="68"/>
        <v>45838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>Индустриален холдинг България АД</v>
      </c>
      <c r="B1173" s="594" t="str">
        <f t="shared" si="67"/>
        <v>121631219</v>
      </c>
      <c r="C1173" s="598">
        <f t="shared" si="68"/>
        <v>45838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>Индустриален холдинг България АД</v>
      </c>
      <c r="B1174" s="594" t="str">
        <f t="shared" si="67"/>
        <v>121631219</v>
      </c>
      <c r="C1174" s="598">
        <f t="shared" si="68"/>
        <v>45838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>Индустриален холдинг България АД</v>
      </c>
      <c r="B1175" s="594" t="str">
        <f t="shared" si="67"/>
        <v>121631219</v>
      </c>
      <c r="C1175" s="598">
        <f t="shared" si="68"/>
        <v>45838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>Индустриален холдинг България АД</v>
      </c>
      <c r="B1176" s="594" t="str">
        <f t="shared" si="67"/>
        <v>121631219</v>
      </c>
      <c r="C1176" s="598">
        <f t="shared" si="68"/>
        <v>45838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>Индустриален холдинг България АД</v>
      </c>
      <c r="B1177" s="594" t="str">
        <f t="shared" si="67"/>
        <v>121631219</v>
      </c>
      <c r="C1177" s="598">
        <f t="shared" si="68"/>
        <v>45838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>Индустриален холдинг България АД</v>
      </c>
      <c r="B1178" s="594" t="str">
        <f t="shared" si="67"/>
        <v>121631219</v>
      </c>
      <c r="C1178" s="598">
        <f t="shared" si="68"/>
        <v>45838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>Индустриален холдинг България АД</v>
      </c>
      <c r="B1179" s="594" t="str">
        <f t="shared" si="67"/>
        <v>121631219</v>
      </c>
      <c r="C1179" s="598">
        <f t="shared" si="68"/>
        <v>45838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>Индустриален холдинг България АД</v>
      </c>
      <c r="B1180" s="594" t="str">
        <f t="shared" si="67"/>
        <v>121631219</v>
      </c>
      <c r="C1180" s="598">
        <f t="shared" si="68"/>
        <v>45838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1310</v>
      </c>
    </row>
    <row r="1181" spans="1:8">
      <c r="A1181" s="594" t="str">
        <f t="shared" si="66"/>
        <v>Индустриален холдинг България АД</v>
      </c>
      <c r="B1181" s="594" t="str">
        <f t="shared" si="67"/>
        <v>121631219</v>
      </c>
      <c r="C1181" s="598">
        <f t="shared" si="68"/>
        <v>45838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10</v>
      </c>
    </row>
    <row r="1182" spans="1:8">
      <c r="A1182" s="594" t="str">
        <f t="shared" si="66"/>
        <v>Индустриален холдинг България АД</v>
      </c>
      <c r="B1182" s="594" t="str">
        <f t="shared" si="67"/>
        <v>121631219</v>
      </c>
      <c r="C1182" s="598">
        <f t="shared" si="68"/>
        <v>45838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>Индустриален холдинг България АД</v>
      </c>
      <c r="B1183" s="594" t="str">
        <f t="shared" si="67"/>
        <v>121631219</v>
      </c>
      <c r="C1183" s="598">
        <f t="shared" si="68"/>
        <v>45838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1320</v>
      </c>
    </row>
    <row r="1184" spans="1:8">
      <c r="A1184" s="594" t="str">
        <f t="shared" si="66"/>
        <v>Индустриален холдинг България АД</v>
      </c>
      <c r="B1184" s="594" t="str">
        <f t="shared" si="67"/>
        <v>121631219</v>
      </c>
      <c r="C1184" s="598">
        <f t="shared" si="68"/>
        <v>45838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0</v>
      </c>
    </row>
    <row r="1185" spans="1:8">
      <c r="A1185" s="594" t="str">
        <f t="shared" si="66"/>
        <v>Индустриален холдинг България АД</v>
      </c>
      <c r="B1185" s="594" t="str">
        <f t="shared" si="67"/>
        <v>121631219</v>
      </c>
      <c r="C1185" s="598">
        <f t="shared" si="68"/>
        <v>45838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0</v>
      </c>
    </row>
    <row r="1186" spans="1:8">
      <c r="A1186" s="594" t="str">
        <f t="shared" si="66"/>
        <v>Индустриален холдинг България АД</v>
      </c>
      <c r="B1186" s="594" t="str">
        <f t="shared" si="67"/>
        <v>121631219</v>
      </c>
      <c r="C1186" s="598">
        <f t="shared" si="68"/>
        <v>45838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0</v>
      </c>
    </row>
    <row r="1187" spans="1:8">
      <c r="A1187" s="594" t="str">
        <f t="shared" si="66"/>
        <v>Индустриален холдинг България АД</v>
      </c>
      <c r="B1187" s="594" t="str">
        <f t="shared" si="67"/>
        <v>121631219</v>
      </c>
      <c r="C1187" s="598">
        <f t="shared" si="68"/>
        <v>45838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0</v>
      </c>
    </row>
    <row r="1188" spans="1:8">
      <c r="A1188" s="594" t="str">
        <f t="shared" si="66"/>
        <v>Индустриален холдинг България АД</v>
      </c>
      <c r="B1188" s="594" t="str">
        <f t="shared" si="67"/>
        <v>121631219</v>
      </c>
      <c r="C1188" s="598">
        <f t="shared" si="68"/>
        <v>45838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98</v>
      </c>
    </row>
    <row r="1189" spans="1:8">
      <c r="A1189" s="594" t="str">
        <f t="shared" si="66"/>
        <v>Индустриален холдинг България АД</v>
      </c>
      <c r="B1189" s="594" t="str">
        <f t="shared" si="67"/>
        <v>121631219</v>
      </c>
      <c r="C1189" s="598">
        <f t="shared" si="68"/>
        <v>45838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2</v>
      </c>
    </row>
    <row r="1190" spans="1:8">
      <c r="A1190" s="594" t="str">
        <f t="shared" si="66"/>
        <v>Индустриален холдинг България АД</v>
      </c>
      <c r="B1190" s="594" t="str">
        <f t="shared" si="67"/>
        <v>121631219</v>
      </c>
      <c r="C1190" s="598">
        <f t="shared" si="68"/>
        <v>45838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>Индустриален холдинг България АД</v>
      </c>
      <c r="B1191" s="594" t="str">
        <f t="shared" si="67"/>
        <v>121631219</v>
      </c>
      <c r="C1191" s="598">
        <f t="shared" si="68"/>
        <v>45838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100</v>
      </c>
    </row>
    <row r="1192" spans="1:8">
      <c r="A1192" s="594" t="str">
        <f t="shared" si="66"/>
        <v>Индустриален холдинг България АД</v>
      </c>
      <c r="B1192" s="594" t="str">
        <f t="shared" si="67"/>
        <v>121631219</v>
      </c>
      <c r="C1192" s="598">
        <f t="shared" si="68"/>
        <v>45838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1212</v>
      </c>
    </row>
    <row r="1193" spans="1:8">
      <c r="A1193" s="594" t="str">
        <f t="shared" si="66"/>
        <v>Индустриален холдинг България АД</v>
      </c>
      <c r="B1193" s="594" t="str">
        <f t="shared" si="67"/>
        <v>121631219</v>
      </c>
      <c r="C1193" s="598">
        <f t="shared" si="68"/>
        <v>45838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8</v>
      </c>
    </row>
    <row r="1194" spans="1:8">
      <c r="A1194" s="594" t="str">
        <f t="shared" si="66"/>
        <v>Индустриален холдинг България АД</v>
      </c>
      <c r="B1194" s="594" t="str">
        <f t="shared" si="67"/>
        <v>121631219</v>
      </c>
      <c r="C1194" s="598">
        <f t="shared" si="68"/>
        <v>45838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0</v>
      </c>
    </row>
    <row r="1195" spans="1:8">
      <c r="A1195" s="594" t="str">
        <f t="shared" si="66"/>
        <v>Индустриален холдинг България АД</v>
      </c>
      <c r="B1195" s="594" t="str">
        <f t="shared" si="67"/>
        <v>121631219</v>
      </c>
      <c r="C1195" s="598">
        <f t="shared" si="68"/>
        <v>45838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1220</v>
      </c>
    </row>
    <row r="1196" spans="1:8" s="432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>Индустриален холдинг България АД</v>
      </c>
      <c r="B1197" s="594" t="str">
        <f t="shared" ref="B1197:B1228" si="70">pdeBulstat</f>
        <v>121631219</v>
      </c>
      <c r="C1197" s="598">
        <f t="shared" ref="C1197:C1228" si="71">endDate</f>
        <v>45838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0</v>
      </c>
    </row>
    <row r="1198" spans="1:8">
      <c r="A1198" s="594" t="str">
        <f t="shared" si="69"/>
        <v>Индустриален холдинг България АД</v>
      </c>
      <c r="B1198" s="594" t="str">
        <f t="shared" si="70"/>
        <v>121631219</v>
      </c>
      <c r="C1198" s="598">
        <f t="shared" si="71"/>
        <v>45838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>Индустриален холдинг България АД</v>
      </c>
      <c r="B1199" s="594" t="str">
        <f t="shared" si="70"/>
        <v>121631219</v>
      </c>
      <c r="C1199" s="598">
        <f t="shared" si="71"/>
        <v>45838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>Индустриален холдинг България АД</v>
      </c>
      <c r="B1200" s="594" t="str">
        <f t="shared" si="70"/>
        <v>121631219</v>
      </c>
      <c r="C1200" s="598">
        <f t="shared" si="71"/>
        <v>45838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>Индустриален холдинг България АД</v>
      </c>
      <c r="B1201" s="594" t="str">
        <f t="shared" si="70"/>
        <v>121631219</v>
      </c>
      <c r="C1201" s="598">
        <f t="shared" si="71"/>
        <v>45838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25000</v>
      </c>
    </row>
    <row r="1202" spans="1:8">
      <c r="A1202" s="594" t="str">
        <f t="shared" si="69"/>
        <v>Индустриален холдинг България АД</v>
      </c>
      <c r="B1202" s="594" t="str">
        <f t="shared" si="70"/>
        <v>121631219</v>
      </c>
      <c r="C1202" s="598">
        <f t="shared" si="71"/>
        <v>45838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25000</v>
      </c>
    </row>
    <row r="1203" spans="1:8">
      <c r="A1203" s="594" t="str">
        <f t="shared" si="69"/>
        <v>Индустриален холдинг България АД</v>
      </c>
      <c r="B1203" s="594" t="str">
        <f t="shared" si="70"/>
        <v>121631219</v>
      </c>
      <c r="C1203" s="598">
        <f t="shared" si="71"/>
        <v>45838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0</v>
      </c>
    </row>
    <row r="1204" spans="1:8">
      <c r="A1204" s="594" t="str">
        <f t="shared" si="69"/>
        <v>Индустриален холдинг България АД</v>
      </c>
      <c r="B1204" s="594" t="str">
        <f t="shared" si="70"/>
        <v>121631219</v>
      </c>
      <c r="C1204" s="598">
        <f t="shared" si="71"/>
        <v>45838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0</v>
      </c>
    </row>
    <row r="1205" spans="1:8">
      <c r="A1205" s="594" t="str">
        <f t="shared" si="69"/>
        <v>Индустриален холдинг България АД</v>
      </c>
      <c r="B1205" s="594" t="str">
        <f t="shared" si="70"/>
        <v>121631219</v>
      </c>
      <c r="C1205" s="598">
        <f t="shared" si="71"/>
        <v>45838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0</v>
      </c>
    </row>
    <row r="1206" spans="1:8">
      <c r="A1206" s="594" t="str">
        <f t="shared" si="69"/>
        <v>Индустриален холдинг България АД</v>
      </c>
      <c r="B1206" s="594" t="str">
        <f t="shared" si="70"/>
        <v>121631219</v>
      </c>
      <c r="C1206" s="598">
        <f t="shared" si="71"/>
        <v>45838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>Индустриален холдинг България АД</v>
      </c>
      <c r="B1207" s="594" t="str">
        <f t="shared" si="70"/>
        <v>121631219</v>
      </c>
      <c r="C1207" s="598">
        <f t="shared" si="71"/>
        <v>45838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>Индустриален холдинг България АД</v>
      </c>
      <c r="B1208" s="594" t="str">
        <f t="shared" si="70"/>
        <v>121631219</v>
      </c>
      <c r="C1208" s="598">
        <f t="shared" si="71"/>
        <v>45838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>Индустриален холдинг България АД</v>
      </c>
      <c r="B1209" s="594" t="str">
        <f t="shared" si="70"/>
        <v>121631219</v>
      </c>
      <c r="C1209" s="598">
        <f t="shared" si="71"/>
        <v>45838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0</v>
      </c>
    </row>
    <row r="1210" spans="1:8">
      <c r="A1210" s="594" t="str">
        <f t="shared" si="69"/>
        <v>Индустриален холдинг България АД</v>
      </c>
      <c r="B1210" s="594" t="str">
        <f t="shared" si="70"/>
        <v>121631219</v>
      </c>
      <c r="C1210" s="598">
        <f t="shared" si="71"/>
        <v>45838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0</v>
      </c>
    </row>
    <row r="1211" spans="1:8">
      <c r="A1211" s="594" t="str">
        <f t="shared" si="69"/>
        <v>Индустриален холдинг България АД</v>
      </c>
      <c r="B1211" s="594" t="str">
        <f t="shared" si="70"/>
        <v>121631219</v>
      </c>
      <c r="C1211" s="598">
        <f t="shared" si="71"/>
        <v>45838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>Индустриален холдинг България АД</v>
      </c>
      <c r="B1212" s="594" t="str">
        <f t="shared" si="70"/>
        <v>121631219</v>
      </c>
      <c r="C1212" s="598">
        <f t="shared" si="71"/>
        <v>45838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>Индустриален холдинг България АД</v>
      </c>
      <c r="B1213" s="594" t="str">
        <f t="shared" si="70"/>
        <v>121631219</v>
      </c>
      <c r="C1213" s="598">
        <f t="shared" si="71"/>
        <v>45838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>Индустриален холдинг България АД</v>
      </c>
      <c r="B1214" s="594" t="str">
        <f t="shared" si="70"/>
        <v>121631219</v>
      </c>
      <c r="C1214" s="598">
        <f t="shared" si="71"/>
        <v>45838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>Индустриален холдинг България АД</v>
      </c>
      <c r="B1215" s="594" t="str">
        <f t="shared" si="70"/>
        <v>121631219</v>
      </c>
      <c r="C1215" s="598">
        <f t="shared" si="71"/>
        <v>45838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>Индустриален холдинг България АД</v>
      </c>
      <c r="B1216" s="594" t="str">
        <f t="shared" si="70"/>
        <v>121631219</v>
      </c>
      <c r="C1216" s="598">
        <f t="shared" si="71"/>
        <v>45838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>Индустриален холдинг България АД</v>
      </c>
      <c r="B1217" s="594" t="str">
        <f t="shared" si="70"/>
        <v>121631219</v>
      </c>
      <c r="C1217" s="598">
        <f t="shared" si="71"/>
        <v>45838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>Индустриален холдинг България АД</v>
      </c>
      <c r="B1218" s="594" t="str">
        <f t="shared" si="70"/>
        <v>121631219</v>
      </c>
      <c r="C1218" s="598">
        <f t="shared" si="71"/>
        <v>45838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>Индустриален холдинг България АД</v>
      </c>
      <c r="B1219" s="594" t="str">
        <f t="shared" si="70"/>
        <v>121631219</v>
      </c>
      <c r="C1219" s="598">
        <f t="shared" si="71"/>
        <v>45838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>Индустриален холдинг България АД</v>
      </c>
      <c r="B1220" s="594" t="str">
        <f t="shared" si="70"/>
        <v>121631219</v>
      </c>
      <c r="C1220" s="598">
        <f t="shared" si="71"/>
        <v>45838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>Индустриален холдинг България АД</v>
      </c>
      <c r="B1221" s="594" t="str">
        <f t="shared" si="70"/>
        <v>121631219</v>
      </c>
      <c r="C1221" s="598">
        <f t="shared" si="71"/>
        <v>45838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>Индустриален холдинг България АД</v>
      </c>
      <c r="B1222" s="594" t="str">
        <f t="shared" si="70"/>
        <v>121631219</v>
      </c>
      <c r="C1222" s="598">
        <f t="shared" si="71"/>
        <v>45838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>Индустриален холдинг България АД</v>
      </c>
      <c r="B1223" s="594" t="str">
        <f t="shared" si="70"/>
        <v>121631219</v>
      </c>
      <c r="C1223" s="598">
        <f t="shared" si="71"/>
        <v>45838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>Индустриален холдинг България АД</v>
      </c>
      <c r="B1224" s="594" t="str">
        <f t="shared" si="70"/>
        <v>121631219</v>
      </c>
      <c r="C1224" s="598">
        <f t="shared" si="71"/>
        <v>45838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>Индустриален холдинг България АД</v>
      </c>
      <c r="B1225" s="594" t="str">
        <f t="shared" si="70"/>
        <v>121631219</v>
      </c>
      <c r="C1225" s="598">
        <f t="shared" si="71"/>
        <v>45838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>Индустриален холдинг България АД</v>
      </c>
      <c r="B1226" s="594" t="str">
        <f t="shared" si="70"/>
        <v>121631219</v>
      </c>
      <c r="C1226" s="598">
        <f t="shared" si="71"/>
        <v>45838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>Индустриален холдинг България АД</v>
      </c>
      <c r="B1227" s="594" t="str">
        <f t="shared" si="70"/>
        <v>121631219</v>
      </c>
      <c r="C1227" s="598">
        <f t="shared" si="71"/>
        <v>45838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>Индустриален холдинг България АД</v>
      </c>
      <c r="B1228" s="594" t="str">
        <f t="shared" si="70"/>
        <v>121631219</v>
      </c>
      <c r="C1228" s="598">
        <f t="shared" si="71"/>
        <v>45838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>Индустриален холдинг България АД</v>
      </c>
      <c r="B1229" s="594" t="str">
        <f t="shared" ref="B1229:B1260" si="73">pdeBulstat</f>
        <v>121631219</v>
      </c>
      <c r="C1229" s="598">
        <f t="shared" ref="C1229:C1260" si="74">endDate</f>
        <v>45838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>Индустриален холдинг България АД</v>
      </c>
      <c r="B1230" s="594" t="str">
        <f t="shared" si="73"/>
        <v>121631219</v>
      </c>
      <c r="C1230" s="598">
        <f t="shared" si="74"/>
        <v>45838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>Индустриален холдинг България АД</v>
      </c>
      <c r="B1231" s="594" t="str">
        <f t="shared" si="73"/>
        <v>121631219</v>
      </c>
      <c r="C1231" s="598">
        <f t="shared" si="74"/>
        <v>45838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>Индустриален холдинг България АД</v>
      </c>
      <c r="B1232" s="594" t="str">
        <f t="shared" si="73"/>
        <v>121631219</v>
      </c>
      <c r="C1232" s="598">
        <f t="shared" si="74"/>
        <v>45838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>Индустриален холдинг България АД</v>
      </c>
      <c r="B1233" s="594" t="str">
        <f t="shared" si="73"/>
        <v>121631219</v>
      </c>
      <c r="C1233" s="598">
        <f t="shared" si="74"/>
        <v>45838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>Индустриален холдинг България АД</v>
      </c>
      <c r="B1234" s="594" t="str">
        <f t="shared" si="73"/>
        <v>121631219</v>
      </c>
      <c r="C1234" s="598">
        <f t="shared" si="74"/>
        <v>45838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>Индустриален холдинг България АД</v>
      </c>
      <c r="B1235" s="594" t="str">
        <f t="shared" si="73"/>
        <v>121631219</v>
      </c>
      <c r="C1235" s="598">
        <f t="shared" si="74"/>
        <v>45838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>Индустриален холдинг България АД</v>
      </c>
      <c r="B1236" s="594" t="str">
        <f t="shared" si="73"/>
        <v>121631219</v>
      </c>
      <c r="C1236" s="598">
        <f t="shared" si="74"/>
        <v>45838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>Индустриален холдинг България АД</v>
      </c>
      <c r="B1237" s="594" t="str">
        <f t="shared" si="73"/>
        <v>121631219</v>
      </c>
      <c r="C1237" s="598">
        <f t="shared" si="74"/>
        <v>45838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>Индустриален холдинг България АД</v>
      </c>
      <c r="B1238" s="594" t="str">
        <f t="shared" si="73"/>
        <v>121631219</v>
      </c>
      <c r="C1238" s="598">
        <f t="shared" si="74"/>
        <v>45838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>Индустриален холдинг България АД</v>
      </c>
      <c r="B1239" s="594" t="str">
        <f t="shared" si="73"/>
        <v>121631219</v>
      </c>
      <c r="C1239" s="598">
        <f t="shared" si="74"/>
        <v>45838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0</v>
      </c>
    </row>
    <row r="1240" spans="1:8">
      <c r="A1240" s="594" t="str">
        <f t="shared" si="72"/>
        <v>Индустриален холдинг България АД</v>
      </c>
      <c r="B1240" s="594" t="str">
        <f t="shared" si="73"/>
        <v>121631219</v>
      </c>
      <c r="C1240" s="598">
        <f t="shared" si="74"/>
        <v>45838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>Индустриален холдинг България АД</v>
      </c>
      <c r="B1241" s="594" t="str">
        <f t="shared" si="73"/>
        <v>121631219</v>
      </c>
      <c r="C1241" s="598">
        <f t="shared" si="74"/>
        <v>45838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>Индустриален холдинг България АД</v>
      </c>
      <c r="B1242" s="594" t="str">
        <f t="shared" si="73"/>
        <v>121631219</v>
      </c>
      <c r="C1242" s="598">
        <f t="shared" si="74"/>
        <v>45838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0</v>
      </c>
    </row>
    <row r="1243" spans="1:8">
      <c r="A1243" s="594" t="str">
        <f t="shared" si="72"/>
        <v>Индустриален холдинг България АД</v>
      </c>
      <c r="B1243" s="594" t="str">
        <f t="shared" si="73"/>
        <v>121631219</v>
      </c>
      <c r="C1243" s="598">
        <f t="shared" si="74"/>
        <v>45838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4021</v>
      </c>
    </row>
    <row r="1244" spans="1:8">
      <c r="A1244" s="594" t="str">
        <f t="shared" si="72"/>
        <v>Индустриален холдинг България АД</v>
      </c>
      <c r="B1244" s="594" t="str">
        <f t="shared" si="73"/>
        <v>121631219</v>
      </c>
      <c r="C1244" s="598">
        <f t="shared" si="74"/>
        <v>45838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4021</v>
      </c>
    </row>
    <row r="1245" spans="1:8">
      <c r="A1245" s="594" t="str">
        <f t="shared" si="72"/>
        <v>Индустриален холдинг България АД</v>
      </c>
      <c r="B1245" s="594" t="str">
        <f t="shared" si="73"/>
        <v>121631219</v>
      </c>
      <c r="C1245" s="598">
        <f t="shared" si="74"/>
        <v>45838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0</v>
      </c>
    </row>
    <row r="1246" spans="1:8">
      <c r="A1246" s="594" t="str">
        <f t="shared" si="72"/>
        <v>Индустриален холдинг България АД</v>
      </c>
      <c r="B1246" s="594" t="str">
        <f t="shared" si="73"/>
        <v>121631219</v>
      </c>
      <c r="C1246" s="598">
        <f t="shared" si="74"/>
        <v>45838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0</v>
      </c>
    </row>
    <row r="1247" spans="1:8">
      <c r="A1247" s="594" t="str">
        <f t="shared" si="72"/>
        <v>Индустриален холдинг България АД</v>
      </c>
      <c r="B1247" s="594" t="str">
        <f t="shared" si="73"/>
        <v>121631219</v>
      </c>
      <c r="C1247" s="598">
        <f t="shared" si="74"/>
        <v>45838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0</v>
      </c>
    </row>
    <row r="1248" spans="1:8">
      <c r="A1248" s="594" t="str">
        <f t="shared" si="72"/>
        <v>Индустриален холдинг България АД</v>
      </c>
      <c r="B1248" s="594" t="str">
        <f t="shared" si="73"/>
        <v>121631219</v>
      </c>
      <c r="C1248" s="598">
        <f t="shared" si="74"/>
        <v>45838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>Индустриален холдинг България АД</v>
      </c>
      <c r="B1249" s="594" t="str">
        <f t="shared" si="73"/>
        <v>121631219</v>
      </c>
      <c r="C1249" s="598">
        <f t="shared" si="74"/>
        <v>45838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>Индустриален холдинг България АД</v>
      </c>
      <c r="B1250" s="594" t="str">
        <f t="shared" si="73"/>
        <v>121631219</v>
      </c>
      <c r="C1250" s="598">
        <f t="shared" si="74"/>
        <v>45838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>Индустриален холдинг България АД</v>
      </c>
      <c r="B1251" s="594" t="str">
        <f t="shared" si="73"/>
        <v>121631219</v>
      </c>
      <c r="C1251" s="598">
        <f t="shared" si="74"/>
        <v>45838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3</v>
      </c>
    </row>
    <row r="1252" spans="1:8">
      <c r="A1252" s="594" t="str">
        <f t="shared" si="72"/>
        <v>Индустриален холдинг България АД</v>
      </c>
      <c r="B1252" s="594" t="str">
        <f t="shared" si="73"/>
        <v>121631219</v>
      </c>
      <c r="C1252" s="598">
        <f t="shared" si="74"/>
        <v>45838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3</v>
      </c>
    </row>
    <row r="1253" spans="1:8">
      <c r="A1253" s="594" t="str">
        <f t="shared" si="72"/>
        <v>Индустриален холдинг България АД</v>
      </c>
      <c r="B1253" s="594" t="str">
        <f t="shared" si="73"/>
        <v>121631219</v>
      </c>
      <c r="C1253" s="598">
        <f t="shared" si="74"/>
        <v>45838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>Индустриален холдинг България АД</v>
      </c>
      <c r="B1254" s="594" t="str">
        <f t="shared" si="73"/>
        <v>121631219</v>
      </c>
      <c r="C1254" s="598">
        <f t="shared" si="74"/>
        <v>45838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>Индустриален холдинг България АД</v>
      </c>
      <c r="B1255" s="594" t="str">
        <f t="shared" si="73"/>
        <v>121631219</v>
      </c>
      <c r="C1255" s="598">
        <f t="shared" si="74"/>
        <v>45838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>Индустриален холдинг България АД</v>
      </c>
      <c r="B1256" s="594" t="str">
        <f t="shared" si="73"/>
        <v>121631219</v>
      </c>
      <c r="C1256" s="598">
        <f t="shared" si="74"/>
        <v>45838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>Индустриален холдинг България АД</v>
      </c>
      <c r="B1257" s="594" t="str">
        <f t="shared" si="73"/>
        <v>121631219</v>
      </c>
      <c r="C1257" s="598">
        <f t="shared" si="74"/>
        <v>45838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120</v>
      </c>
    </row>
    <row r="1258" spans="1:8">
      <c r="A1258" s="594" t="str">
        <f t="shared" si="72"/>
        <v>Индустриален холдинг България АД</v>
      </c>
      <c r="B1258" s="594" t="str">
        <f t="shared" si="73"/>
        <v>121631219</v>
      </c>
      <c r="C1258" s="598">
        <f t="shared" si="74"/>
        <v>45838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120</v>
      </c>
    </row>
    <row r="1259" spans="1:8">
      <c r="A1259" s="594" t="str">
        <f t="shared" si="72"/>
        <v>Индустриален холдинг България АД</v>
      </c>
      <c r="B1259" s="594" t="str">
        <f t="shared" si="73"/>
        <v>121631219</v>
      </c>
      <c r="C1259" s="598">
        <f t="shared" si="74"/>
        <v>45838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0</v>
      </c>
    </row>
    <row r="1260" spans="1:8">
      <c r="A1260" s="594" t="str">
        <f t="shared" si="72"/>
        <v>Индустриален холдинг България АД</v>
      </c>
      <c r="B1260" s="594" t="str">
        <f t="shared" si="73"/>
        <v>121631219</v>
      </c>
      <c r="C1260" s="598">
        <f t="shared" si="74"/>
        <v>45838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>Индустриален холдинг България АД</v>
      </c>
      <c r="B1261" s="594" t="str">
        <f t="shared" ref="B1261:B1294" si="76">pdeBulstat</f>
        <v>121631219</v>
      </c>
      <c r="C1261" s="598">
        <f t="shared" ref="C1261:C1294" si="77">endDate</f>
        <v>45838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0</v>
      </c>
    </row>
    <row r="1262" spans="1:8">
      <c r="A1262" s="594" t="str">
        <f t="shared" si="75"/>
        <v>Индустриален холдинг България АД</v>
      </c>
      <c r="B1262" s="594" t="str">
        <f t="shared" si="76"/>
        <v>121631219</v>
      </c>
      <c r="C1262" s="598">
        <f t="shared" si="77"/>
        <v>45838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>Индустриален холдинг България АД</v>
      </c>
      <c r="B1263" s="594" t="str">
        <f t="shared" si="76"/>
        <v>121631219</v>
      </c>
      <c r="C1263" s="598">
        <f t="shared" si="77"/>
        <v>45838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>Индустриален холдинг България АД</v>
      </c>
      <c r="B1264" s="594" t="str">
        <f t="shared" si="76"/>
        <v>121631219</v>
      </c>
      <c r="C1264" s="598">
        <f t="shared" si="77"/>
        <v>45838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>Индустриален холдинг България АД</v>
      </c>
      <c r="B1265" s="594" t="str">
        <f t="shared" si="76"/>
        <v>121631219</v>
      </c>
      <c r="C1265" s="598">
        <f t="shared" si="77"/>
        <v>45838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21</v>
      </c>
    </row>
    <row r="1266" spans="1:8">
      <c r="A1266" s="594" t="str">
        <f t="shared" si="75"/>
        <v>Индустриален холдинг България АД</v>
      </c>
      <c r="B1266" s="594" t="str">
        <f t="shared" si="76"/>
        <v>121631219</v>
      </c>
      <c r="C1266" s="598">
        <f t="shared" si="77"/>
        <v>45838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21</v>
      </c>
    </row>
    <row r="1267" spans="1:8">
      <c r="A1267" s="594" t="str">
        <f t="shared" si="75"/>
        <v>Индустриален холдинг България АД</v>
      </c>
      <c r="B1267" s="594" t="str">
        <f t="shared" si="76"/>
        <v>121631219</v>
      </c>
      <c r="C1267" s="598">
        <f t="shared" si="77"/>
        <v>45838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>Индустриален холдинг България АД</v>
      </c>
      <c r="B1268" s="594" t="str">
        <f t="shared" si="76"/>
        <v>121631219</v>
      </c>
      <c r="C1268" s="598">
        <f t="shared" si="77"/>
        <v>45838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>Индустриален холдинг България АД</v>
      </c>
      <c r="B1269" s="594" t="str">
        <f t="shared" si="76"/>
        <v>121631219</v>
      </c>
      <c r="C1269" s="598">
        <f t="shared" si="77"/>
        <v>45838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>Индустриален холдинг България АД</v>
      </c>
      <c r="B1270" s="594" t="str">
        <f t="shared" si="76"/>
        <v>121631219</v>
      </c>
      <c r="C1270" s="598">
        <f t="shared" si="77"/>
        <v>45838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>Индустриален холдинг България АД</v>
      </c>
      <c r="B1271" s="594" t="str">
        <f t="shared" si="76"/>
        <v>121631219</v>
      </c>
      <c r="C1271" s="598">
        <f t="shared" si="77"/>
        <v>45838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164</v>
      </c>
    </row>
    <row r="1272" spans="1:8">
      <c r="A1272" s="594" t="str">
        <f t="shared" si="75"/>
        <v>Индустриален холдинг България АД</v>
      </c>
      <c r="B1272" s="594" t="str">
        <f t="shared" si="76"/>
        <v>121631219</v>
      </c>
      <c r="C1272" s="598">
        <f t="shared" si="77"/>
        <v>45838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164</v>
      </c>
    </row>
    <row r="1273" spans="1:8">
      <c r="A1273" s="594" t="str">
        <f t="shared" si="75"/>
        <v>Индустриален холдинг България АД</v>
      </c>
      <c r="B1273" s="594" t="str">
        <f t="shared" si="76"/>
        <v>121631219</v>
      </c>
      <c r="C1273" s="598">
        <f t="shared" si="77"/>
        <v>45838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0</v>
      </c>
    </row>
    <row r="1274" spans="1:8">
      <c r="A1274" s="594" t="str">
        <f t="shared" si="75"/>
        <v>Индустриален холдинг България АД</v>
      </c>
      <c r="B1274" s="594" t="str">
        <f t="shared" si="76"/>
        <v>121631219</v>
      </c>
      <c r="C1274" s="598">
        <f t="shared" si="77"/>
        <v>45838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>Индустриален холдинг България АД</v>
      </c>
      <c r="B1275" s="594" t="str">
        <f t="shared" si="76"/>
        <v>121631219</v>
      </c>
      <c r="C1275" s="598">
        <f t="shared" si="77"/>
        <v>45838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>Индустриален холдинг България АД</v>
      </c>
      <c r="B1276" s="594" t="str">
        <f t="shared" si="76"/>
        <v>121631219</v>
      </c>
      <c r="C1276" s="598">
        <f t="shared" si="77"/>
        <v>45838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>Индустриален холдинг България АД</v>
      </c>
      <c r="B1277" s="594" t="str">
        <f t="shared" si="76"/>
        <v>121631219</v>
      </c>
      <c r="C1277" s="598">
        <f t="shared" si="77"/>
        <v>45838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>Индустриален холдинг България АД</v>
      </c>
      <c r="B1278" s="594" t="str">
        <f t="shared" si="76"/>
        <v>121631219</v>
      </c>
      <c r="C1278" s="598">
        <f t="shared" si="77"/>
        <v>45838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>Индустриален холдинг България АД</v>
      </c>
      <c r="B1279" s="594" t="str">
        <f t="shared" si="76"/>
        <v>121631219</v>
      </c>
      <c r="C1279" s="598">
        <f t="shared" si="77"/>
        <v>45838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0</v>
      </c>
    </row>
    <row r="1280" spans="1:8">
      <c r="A1280" s="594" t="str">
        <f t="shared" si="75"/>
        <v>Индустриален холдинг България АД</v>
      </c>
      <c r="B1280" s="594" t="str">
        <f t="shared" si="76"/>
        <v>121631219</v>
      </c>
      <c r="C1280" s="598">
        <f t="shared" si="77"/>
        <v>45838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0</v>
      </c>
    </row>
    <row r="1281" spans="1:8">
      <c r="A1281" s="594" t="str">
        <f t="shared" si="75"/>
        <v>Индустриален холдинг България АД</v>
      </c>
      <c r="B1281" s="594" t="str">
        <f t="shared" si="76"/>
        <v>121631219</v>
      </c>
      <c r="C1281" s="598">
        <f t="shared" si="77"/>
        <v>45838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0</v>
      </c>
    </row>
    <row r="1282" spans="1:8">
      <c r="A1282" s="594" t="str">
        <f t="shared" si="75"/>
        <v>Индустриален холдинг България АД</v>
      </c>
      <c r="B1282" s="594" t="str">
        <f t="shared" si="76"/>
        <v>121631219</v>
      </c>
      <c r="C1282" s="598">
        <f t="shared" si="77"/>
        <v>45838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>Индустриален холдинг България АД</v>
      </c>
      <c r="B1283" s="594" t="str">
        <f t="shared" si="76"/>
        <v>121631219</v>
      </c>
      <c r="C1283" s="598">
        <f t="shared" si="77"/>
        <v>45838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>Индустриален холдинг България АД</v>
      </c>
      <c r="B1284" s="594" t="str">
        <f t="shared" si="76"/>
        <v>121631219</v>
      </c>
      <c r="C1284" s="598">
        <f t="shared" si="77"/>
        <v>45838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0</v>
      </c>
    </row>
    <row r="1285" spans="1:8">
      <c r="A1285" s="594" t="str">
        <f t="shared" si="75"/>
        <v>Индустриален холдинг България АД</v>
      </c>
      <c r="B1285" s="594" t="str">
        <f t="shared" si="76"/>
        <v>121631219</v>
      </c>
      <c r="C1285" s="598">
        <f t="shared" si="77"/>
        <v>45838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3977</v>
      </c>
    </row>
    <row r="1286" spans="1:8">
      <c r="A1286" s="594" t="str">
        <f t="shared" si="75"/>
        <v>Индустриален холдинг България АД</v>
      </c>
      <c r="B1286" s="594" t="str">
        <f t="shared" si="76"/>
        <v>121631219</v>
      </c>
      <c r="C1286" s="598">
        <f t="shared" si="77"/>
        <v>45838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3977</v>
      </c>
    </row>
    <row r="1287" spans="1:8">
      <c r="A1287" s="594" t="str">
        <f t="shared" si="75"/>
        <v>Индустриален холдинг България АД</v>
      </c>
      <c r="B1287" s="594" t="str">
        <f t="shared" si="76"/>
        <v>121631219</v>
      </c>
      <c r="C1287" s="598">
        <f t="shared" si="77"/>
        <v>45838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0</v>
      </c>
    </row>
    <row r="1288" spans="1:8">
      <c r="A1288" s="594" t="str">
        <f t="shared" si="75"/>
        <v>Индустриален холдинг България АД</v>
      </c>
      <c r="B1288" s="594" t="str">
        <f t="shared" si="76"/>
        <v>121631219</v>
      </c>
      <c r="C1288" s="598">
        <f t="shared" si="77"/>
        <v>45838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0</v>
      </c>
    </row>
    <row r="1289" spans="1:8">
      <c r="A1289" s="594" t="str">
        <f t="shared" si="75"/>
        <v>Индустриален холдинг България АД</v>
      </c>
      <c r="B1289" s="594" t="str">
        <f t="shared" si="76"/>
        <v>121631219</v>
      </c>
      <c r="C1289" s="598">
        <f t="shared" si="77"/>
        <v>45838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0</v>
      </c>
    </row>
    <row r="1290" spans="1:8">
      <c r="A1290" s="594" t="str">
        <f t="shared" si="75"/>
        <v>Индустриален холдинг България АД</v>
      </c>
      <c r="B1290" s="594" t="str">
        <f t="shared" si="76"/>
        <v>121631219</v>
      </c>
      <c r="C1290" s="598">
        <f t="shared" si="77"/>
        <v>45838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>Индустриален холдинг България АД</v>
      </c>
      <c r="B1291" s="594" t="str">
        <f t="shared" si="76"/>
        <v>121631219</v>
      </c>
      <c r="C1291" s="598">
        <f t="shared" si="77"/>
        <v>45838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>Индустриален холдинг България АД</v>
      </c>
      <c r="B1292" s="594" t="str">
        <f t="shared" si="76"/>
        <v>121631219</v>
      </c>
      <c r="C1292" s="598">
        <f t="shared" si="77"/>
        <v>45838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>Индустриален холдинг България АД</v>
      </c>
      <c r="B1293" s="594" t="str">
        <f t="shared" si="76"/>
        <v>121631219</v>
      </c>
      <c r="C1293" s="598">
        <f t="shared" si="77"/>
        <v>45838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24</v>
      </c>
    </row>
    <row r="1294" spans="1:8">
      <c r="A1294" s="594" t="str">
        <f t="shared" si="75"/>
        <v>Индустриален холдинг България АД</v>
      </c>
      <c r="B1294" s="594" t="str">
        <f t="shared" si="76"/>
        <v>121631219</v>
      </c>
      <c r="C1294" s="598">
        <f t="shared" si="77"/>
        <v>45838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24</v>
      </c>
    </row>
    <row r="1295" spans="1:8" s="432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>Индустриален холдинг България АД</v>
      </c>
      <c r="B1296" s="594" t="str">
        <f t="shared" ref="B1296:B1335" si="79">pdeBulstat</f>
        <v>121631219</v>
      </c>
      <c r="C1296" s="598">
        <f t="shared" ref="C1296:C1335" si="80">endDate</f>
        <v>45838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>Индустриален холдинг България АД</v>
      </c>
      <c r="B1297" s="594" t="str">
        <f t="shared" si="79"/>
        <v>121631219</v>
      </c>
      <c r="C1297" s="598">
        <f t="shared" si="80"/>
        <v>45838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>Индустриален холдинг България АД</v>
      </c>
      <c r="B1298" s="594" t="str">
        <f t="shared" si="79"/>
        <v>121631219</v>
      </c>
      <c r="C1298" s="598">
        <f t="shared" si="80"/>
        <v>45838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>Индустриален холдинг България АД</v>
      </c>
      <c r="B1299" s="594" t="str">
        <f t="shared" si="79"/>
        <v>121631219</v>
      </c>
      <c r="C1299" s="598">
        <f t="shared" si="80"/>
        <v>45838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>Индустриален холдинг България АД</v>
      </c>
      <c r="B1300" s="594" t="str">
        <f t="shared" si="79"/>
        <v>121631219</v>
      </c>
      <c r="C1300" s="598">
        <f t="shared" si="80"/>
        <v>45838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>Индустриален холдинг България АД</v>
      </c>
      <c r="B1301" s="594" t="str">
        <f t="shared" si="79"/>
        <v>121631219</v>
      </c>
      <c r="C1301" s="598">
        <f t="shared" si="80"/>
        <v>45838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>Индустриален холдинг България АД</v>
      </c>
      <c r="B1302" s="594" t="str">
        <f t="shared" si="79"/>
        <v>121631219</v>
      </c>
      <c r="C1302" s="598">
        <f t="shared" si="80"/>
        <v>45838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>Индустриален холдинг България АД</v>
      </c>
      <c r="B1303" s="594" t="str">
        <f t="shared" si="79"/>
        <v>121631219</v>
      </c>
      <c r="C1303" s="598">
        <f t="shared" si="80"/>
        <v>45838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>Индустриален холдинг България АД</v>
      </c>
      <c r="B1304" s="594" t="str">
        <f t="shared" si="79"/>
        <v>121631219</v>
      </c>
      <c r="C1304" s="598">
        <f t="shared" si="80"/>
        <v>45838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>Индустриален холдинг България АД</v>
      </c>
      <c r="B1305" s="594" t="str">
        <f t="shared" si="79"/>
        <v>121631219</v>
      </c>
      <c r="C1305" s="598">
        <f t="shared" si="80"/>
        <v>45838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>Индустриален холдинг България АД</v>
      </c>
      <c r="B1306" s="594" t="str">
        <f t="shared" si="79"/>
        <v>121631219</v>
      </c>
      <c r="C1306" s="598">
        <f t="shared" si="80"/>
        <v>45838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>Индустриален холдинг България АД</v>
      </c>
      <c r="B1307" s="594" t="str">
        <f t="shared" si="79"/>
        <v>121631219</v>
      </c>
      <c r="C1307" s="598">
        <f t="shared" si="80"/>
        <v>45838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>Индустриален холдинг България АД</v>
      </c>
      <c r="B1308" s="594" t="str">
        <f t="shared" si="79"/>
        <v>121631219</v>
      </c>
      <c r="C1308" s="598">
        <f t="shared" si="80"/>
        <v>45838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>Индустриален холдинг България АД</v>
      </c>
      <c r="B1309" s="594" t="str">
        <f t="shared" si="79"/>
        <v>121631219</v>
      </c>
      <c r="C1309" s="598">
        <f t="shared" si="80"/>
        <v>45838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>Индустриален холдинг България АД</v>
      </c>
      <c r="B1310" s="594" t="str">
        <f t="shared" si="79"/>
        <v>121631219</v>
      </c>
      <c r="C1310" s="598">
        <f t="shared" si="80"/>
        <v>45838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>Индустриален холдинг България АД</v>
      </c>
      <c r="B1311" s="594" t="str">
        <f t="shared" si="79"/>
        <v>121631219</v>
      </c>
      <c r="C1311" s="598">
        <f t="shared" si="80"/>
        <v>45838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>Индустриален холдинг България АД</v>
      </c>
      <c r="B1312" s="594" t="str">
        <f t="shared" si="79"/>
        <v>121631219</v>
      </c>
      <c r="C1312" s="598">
        <f t="shared" si="80"/>
        <v>45838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>Индустриален холдинг България АД</v>
      </c>
      <c r="B1313" s="594" t="str">
        <f t="shared" si="79"/>
        <v>121631219</v>
      </c>
      <c r="C1313" s="598">
        <f t="shared" si="80"/>
        <v>45838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>Индустриален холдинг България АД</v>
      </c>
      <c r="B1314" s="594" t="str">
        <f t="shared" si="79"/>
        <v>121631219</v>
      </c>
      <c r="C1314" s="598">
        <f t="shared" si="80"/>
        <v>45838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>Индустриален холдинг България АД</v>
      </c>
      <c r="B1315" s="594" t="str">
        <f t="shared" si="79"/>
        <v>121631219</v>
      </c>
      <c r="C1315" s="598">
        <f t="shared" si="80"/>
        <v>45838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>Индустриален холдинг България АД</v>
      </c>
      <c r="B1316" s="594" t="str">
        <f t="shared" si="79"/>
        <v>121631219</v>
      </c>
      <c r="C1316" s="598">
        <f t="shared" si="80"/>
        <v>45838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>Индустриален холдинг България АД</v>
      </c>
      <c r="B1317" s="594" t="str">
        <f t="shared" si="79"/>
        <v>121631219</v>
      </c>
      <c r="C1317" s="598">
        <f t="shared" si="80"/>
        <v>45838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>Индустриален холдинг България АД</v>
      </c>
      <c r="B1318" s="594" t="str">
        <f t="shared" si="79"/>
        <v>121631219</v>
      </c>
      <c r="C1318" s="598">
        <f t="shared" si="80"/>
        <v>45838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>Индустриален холдинг България АД</v>
      </c>
      <c r="B1319" s="594" t="str">
        <f t="shared" si="79"/>
        <v>121631219</v>
      </c>
      <c r="C1319" s="598">
        <f t="shared" si="80"/>
        <v>45838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>Индустриален холдинг България АД</v>
      </c>
      <c r="B1320" s="594" t="str">
        <f t="shared" si="79"/>
        <v>121631219</v>
      </c>
      <c r="C1320" s="598">
        <f t="shared" si="80"/>
        <v>45838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>Индустриален холдинг България АД</v>
      </c>
      <c r="B1321" s="594" t="str">
        <f t="shared" si="79"/>
        <v>121631219</v>
      </c>
      <c r="C1321" s="598">
        <f t="shared" si="80"/>
        <v>45838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>Индустриален холдинг България АД</v>
      </c>
      <c r="B1322" s="594" t="str">
        <f t="shared" si="79"/>
        <v>121631219</v>
      </c>
      <c r="C1322" s="598">
        <f t="shared" si="80"/>
        <v>45838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>Индустриален холдинг България АД</v>
      </c>
      <c r="B1323" s="594" t="str">
        <f t="shared" si="79"/>
        <v>121631219</v>
      </c>
      <c r="C1323" s="598">
        <f t="shared" si="80"/>
        <v>45838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>Индустриален холдинг България АД</v>
      </c>
      <c r="B1324" s="594" t="str">
        <f t="shared" si="79"/>
        <v>121631219</v>
      </c>
      <c r="C1324" s="598">
        <f t="shared" si="80"/>
        <v>45838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>Индустриален холдинг България АД</v>
      </c>
      <c r="B1325" s="594" t="str">
        <f t="shared" si="79"/>
        <v>121631219</v>
      </c>
      <c r="C1325" s="598">
        <f t="shared" si="80"/>
        <v>45838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>Индустриален холдинг България АД</v>
      </c>
      <c r="B1326" s="594" t="str">
        <f t="shared" si="79"/>
        <v>121631219</v>
      </c>
      <c r="C1326" s="598">
        <f t="shared" si="80"/>
        <v>45838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>Индустриален холдинг България АД</v>
      </c>
      <c r="B1327" s="594" t="str">
        <f t="shared" si="79"/>
        <v>121631219</v>
      </c>
      <c r="C1327" s="598">
        <f t="shared" si="80"/>
        <v>45838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>Индустриален холдинг България АД</v>
      </c>
      <c r="B1328" s="594" t="str">
        <f t="shared" si="79"/>
        <v>121631219</v>
      </c>
      <c r="C1328" s="598">
        <f t="shared" si="80"/>
        <v>45838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>Индустриален холдинг България АД</v>
      </c>
      <c r="B1329" s="594" t="str">
        <f t="shared" si="79"/>
        <v>121631219</v>
      </c>
      <c r="C1329" s="598">
        <f t="shared" si="80"/>
        <v>45838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>Индустриален холдинг България АД</v>
      </c>
      <c r="B1330" s="594" t="str">
        <f t="shared" si="79"/>
        <v>121631219</v>
      </c>
      <c r="C1330" s="598">
        <f t="shared" si="80"/>
        <v>45838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>Индустриален холдинг България АД</v>
      </c>
      <c r="B1331" s="594" t="str">
        <f t="shared" si="79"/>
        <v>121631219</v>
      </c>
      <c r="C1331" s="598">
        <f t="shared" si="80"/>
        <v>45838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>Индустриален холдинг България АД</v>
      </c>
      <c r="B1332" s="594" t="str">
        <f t="shared" si="79"/>
        <v>121631219</v>
      </c>
      <c r="C1332" s="598">
        <f t="shared" si="80"/>
        <v>45838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>Индустриален холдинг България АД</v>
      </c>
      <c r="B1333" s="594" t="str">
        <f t="shared" si="79"/>
        <v>121631219</v>
      </c>
      <c r="C1333" s="598">
        <f t="shared" si="80"/>
        <v>45838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>Индустриален холдинг България АД</v>
      </c>
      <c r="B1334" s="594" t="str">
        <f t="shared" si="79"/>
        <v>121631219</v>
      </c>
      <c r="C1334" s="598">
        <f t="shared" si="80"/>
        <v>45838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>Индустриален холдинг България АД</v>
      </c>
      <c r="B1335" s="594" t="str">
        <f t="shared" si="79"/>
        <v>121631219</v>
      </c>
      <c r="C1335" s="598">
        <f t="shared" si="80"/>
        <v>45838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25" zoomScale="85" zoomScaleNormal="85" zoomScaleSheetLayoutView="100" workbookViewId="0">
      <selection activeCell="C55" activeCellId="1" sqref="C52 C55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5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</row>
    <row r="4" spans="1:28" s="11" customFormat="1">
      <c r="A4" s="60" t="str">
        <f>CONCATENATE("на ",UPPER(pdeName))</f>
        <v>на ИНДУСТРИАЛЕН ХОЛДИНГ БЪЛГАРИЯ АД</v>
      </c>
      <c r="B4" s="16"/>
      <c r="C4" s="16"/>
      <c r="D4" s="16"/>
      <c r="H4" s="15"/>
      <c r="J4" s="604"/>
      <c r="K4" s="604"/>
      <c r="L4" s="604"/>
      <c r="M4" s="604"/>
      <c r="N4" s="604"/>
      <c r="O4" s="604"/>
      <c r="P4" s="604"/>
      <c r="Q4" s="604"/>
      <c r="R4" s="604"/>
      <c r="S4" s="604"/>
      <c r="T4" s="604"/>
      <c r="U4" s="604"/>
      <c r="V4" s="604"/>
      <c r="W4" s="604"/>
      <c r="X4" s="604"/>
      <c r="Y4" s="604"/>
      <c r="Z4" s="604"/>
      <c r="AA4" s="604"/>
      <c r="AB4" s="604"/>
    </row>
    <row r="5" spans="1:28" s="11" customFormat="1">
      <c r="A5" s="60" t="str">
        <f>CONCATENATE("ЕИК по БУЛСТАТ: ", pdeBulstat)</f>
        <v>ЕИК по БУЛСТАТ: 121631219</v>
      </c>
      <c r="B5" s="13"/>
      <c r="C5" s="13"/>
      <c r="D5" s="13"/>
      <c r="H5" s="65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4"/>
    </row>
    <row r="6" spans="1:28" s="11" customFormat="1">
      <c r="A6" s="60" t="str">
        <f>CONCATENATE("към ",TEXT(endDate,"dd.mm.yyyy")," г.")</f>
        <v>към 30.06.2025 г.</v>
      </c>
      <c r="B6" s="13"/>
      <c r="C6" s="13"/>
      <c r="D6" s="13"/>
      <c r="H6" s="64"/>
      <c r="J6" s="604"/>
      <c r="K6" s="604"/>
      <c r="L6" s="604"/>
      <c r="M6" s="604"/>
      <c r="N6" s="604"/>
      <c r="O6" s="604"/>
      <c r="P6" s="604"/>
      <c r="Q6" s="604"/>
      <c r="R6" s="604"/>
      <c r="S6" s="604"/>
      <c r="T6" s="604"/>
      <c r="U6" s="604"/>
      <c r="V6" s="604"/>
      <c r="W6" s="604"/>
      <c r="X6" s="604"/>
      <c r="Y6" s="604"/>
      <c r="Z6" s="604"/>
      <c r="AA6" s="604"/>
      <c r="AB6" s="604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604"/>
      <c r="K7" s="604"/>
      <c r="L7" s="604"/>
      <c r="M7" s="604"/>
      <c r="N7" s="604"/>
      <c r="O7" s="604"/>
      <c r="P7" s="604"/>
      <c r="Q7" s="604"/>
      <c r="R7" s="604"/>
      <c r="S7" s="604"/>
      <c r="T7" s="604"/>
      <c r="U7" s="604"/>
      <c r="V7" s="604"/>
      <c r="W7" s="604"/>
      <c r="X7" s="604"/>
      <c r="Y7" s="604"/>
      <c r="Z7" s="604"/>
      <c r="AA7" s="604"/>
      <c r="AB7" s="604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5" t="s">
        <v>30</v>
      </c>
      <c r="F8" s="68" t="s">
        <v>27</v>
      </c>
      <c r="G8" s="69" t="s">
        <v>31</v>
      </c>
      <c r="H8" s="70" t="s">
        <v>32</v>
      </c>
      <c r="J8" s="604"/>
      <c r="K8" s="604"/>
      <c r="L8" s="604"/>
      <c r="M8" s="604"/>
      <c r="N8" s="604"/>
      <c r="O8" s="604"/>
      <c r="P8" s="604"/>
      <c r="Q8" s="604"/>
      <c r="R8" s="604"/>
      <c r="S8" s="604"/>
      <c r="T8" s="604"/>
      <c r="U8" s="604"/>
      <c r="V8" s="604"/>
      <c r="W8" s="604"/>
      <c r="X8" s="604"/>
      <c r="Y8" s="604"/>
      <c r="Z8" s="604"/>
      <c r="AA8" s="604"/>
      <c r="AB8" s="604"/>
    </row>
    <row r="9" spans="1:28" ht="16.5" thickBot="1">
      <c r="A9" s="176" t="s">
        <v>33</v>
      </c>
      <c r="B9" s="177" t="s">
        <v>34</v>
      </c>
      <c r="C9" s="177">
        <v>1</v>
      </c>
      <c r="D9" s="178">
        <v>2</v>
      </c>
      <c r="E9" s="181" t="s">
        <v>33</v>
      </c>
      <c r="F9" s="177" t="s">
        <v>34</v>
      </c>
      <c r="G9" s="177">
        <v>1</v>
      </c>
      <c r="H9" s="178">
        <v>2</v>
      </c>
      <c r="J9" s="604"/>
      <c r="K9" s="604"/>
      <c r="L9" s="604"/>
      <c r="M9" s="604"/>
      <c r="N9" s="604"/>
      <c r="O9" s="604"/>
      <c r="P9" s="604"/>
      <c r="Q9" s="604"/>
      <c r="R9" s="604"/>
      <c r="S9" s="604"/>
      <c r="T9" s="604"/>
      <c r="U9" s="604"/>
      <c r="V9" s="604"/>
      <c r="W9" s="604"/>
      <c r="X9" s="604"/>
      <c r="Y9" s="604"/>
      <c r="Z9" s="604"/>
      <c r="AA9" s="604"/>
      <c r="AB9" s="604"/>
    </row>
    <row r="10" spans="1:28">
      <c r="A10" s="179" t="s">
        <v>35</v>
      </c>
      <c r="B10" s="180"/>
      <c r="C10" s="501"/>
      <c r="D10" s="502"/>
      <c r="E10" s="179" t="s">
        <v>36</v>
      </c>
      <c r="F10" s="182"/>
      <c r="G10" s="513"/>
      <c r="H10" s="514"/>
      <c r="J10" s="604"/>
      <c r="K10" s="604"/>
      <c r="L10" s="604"/>
      <c r="M10" s="604"/>
      <c r="N10" s="604"/>
      <c r="O10" s="604"/>
      <c r="P10" s="604"/>
      <c r="Q10" s="604"/>
      <c r="R10" s="604"/>
      <c r="S10" s="604"/>
      <c r="T10" s="604"/>
      <c r="U10" s="604"/>
      <c r="V10" s="604"/>
      <c r="W10" s="604"/>
      <c r="X10" s="604"/>
      <c r="Y10" s="604"/>
      <c r="Z10" s="604"/>
      <c r="AA10" s="604"/>
      <c r="AB10" s="604"/>
    </row>
    <row r="11" spans="1:28">
      <c r="A11" s="80" t="s">
        <v>37</v>
      </c>
      <c r="B11" s="73"/>
      <c r="C11" s="503"/>
      <c r="D11" s="504"/>
      <c r="E11" s="80" t="s">
        <v>38</v>
      </c>
      <c r="F11" s="156"/>
      <c r="G11" s="515"/>
      <c r="H11" s="516"/>
      <c r="J11" s="604"/>
      <c r="K11" s="604"/>
      <c r="L11" s="604"/>
      <c r="M11" s="604"/>
      <c r="N11" s="604"/>
      <c r="O11" s="604"/>
      <c r="P11" s="604"/>
      <c r="Q11" s="604"/>
      <c r="R11" s="604"/>
      <c r="S11" s="604"/>
      <c r="T11" s="604"/>
      <c r="U11" s="604"/>
      <c r="V11" s="604"/>
      <c r="W11" s="604"/>
      <c r="X11" s="604"/>
      <c r="Y11" s="604"/>
      <c r="Z11" s="604"/>
      <c r="AA11" s="604"/>
      <c r="AB11" s="604"/>
    </row>
    <row r="12" spans="1:28">
      <c r="A12" s="72" t="s">
        <v>39</v>
      </c>
      <c r="B12" s="74" t="s">
        <v>40</v>
      </c>
      <c r="C12" s="154">
        <v>110333</v>
      </c>
      <c r="D12" s="153">
        <v>110055</v>
      </c>
      <c r="E12" s="72" t="s">
        <v>41</v>
      </c>
      <c r="F12" s="75" t="s">
        <v>42</v>
      </c>
      <c r="G12" s="154">
        <v>96808</v>
      </c>
      <c r="H12" s="153">
        <v>96808</v>
      </c>
      <c r="J12" s="604"/>
      <c r="K12" s="604"/>
      <c r="L12" s="604"/>
      <c r="M12" s="604"/>
      <c r="N12" s="604"/>
      <c r="O12" s="604"/>
      <c r="P12" s="604"/>
      <c r="Q12" s="604"/>
      <c r="R12" s="604"/>
      <c r="S12" s="604"/>
      <c r="T12" s="604"/>
      <c r="U12" s="604"/>
      <c r="V12" s="604"/>
      <c r="W12" s="604"/>
      <c r="X12" s="604"/>
      <c r="Y12" s="604"/>
      <c r="Z12" s="604"/>
      <c r="AA12" s="604"/>
      <c r="AB12" s="604"/>
    </row>
    <row r="13" spans="1:28">
      <c r="A13" s="72" t="s">
        <v>43</v>
      </c>
      <c r="B13" s="74" t="s">
        <v>44</v>
      </c>
      <c r="C13" s="154">
        <f>34687+2056</f>
        <v>36743</v>
      </c>
      <c r="D13" s="153">
        <f>35368+2197</f>
        <v>37565</v>
      </c>
      <c r="E13" s="72" t="s">
        <v>45</v>
      </c>
      <c r="F13" s="75" t="s">
        <v>46</v>
      </c>
      <c r="G13" s="154"/>
      <c r="H13" s="153"/>
      <c r="J13" s="604"/>
      <c r="K13" s="604"/>
      <c r="L13" s="604"/>
      <c r="M13" s="604"/>
      <c r="N13" s="604"/>
      <c r="O13" s="604"/>
      <c r="P13" s="604"/>
      <c r="Q13" s="604"/>
      <c r="R13" s="604"/>
      <c r="S13" s="604"/>
      <c r="T13" s="604"/>
      <c r="U13" s="604"/>
      <c r="V13" s="604"/>
      <c r="W13" s="604"/>
      <c r="X13" s="604"/>
      <c r="Y13" s="604"/>
      <c r="Z13" s="604"/>
      <c r="AA13" s="604"/>
      <c r="AB13" s="604"/>
    </row>
    <row r="14" spans="1:28">
      <c r="A14" s="72" t="s">
        <v>47</v>
      </c>
      <c r="B14" s="74" t="s">
        <v>48</v>
      </c>
      <c r="C14" s="154">
        <v>23368</v>
      </c>
      <c r="D14" s="153">
        <v>23410</v>
      </c>
      <c r="E14" s="72" t="s">
        <v>49</v>
      </c>
      <c r="F14" s="75" t="s">
        <v>50</v>
      </c>
      <c r="G14" s="154"/>
      <c r="H14" s="153"/>
      <c r="J14" s="604"/>
      <c r="K14" s="604"/>
      <c r="L14" s="604"/>
      <c r="M14" s="604"/>
      <c r="N14" s="604"/>
      <c r="O14" s="604"/>
      <c r="P14" s="604"/>
      <c r="Q14" s="604"/>
      <c r="R14" s="604"/>
      <c r="S14" s="604"/>
      <c r="T14" s="604"/>
      <c r="U14" s="604"/>
      <c r="V14" s="604"/>
      <c r="W14" s="604"/>
      <c r="X14" s="604"/>
      <c r="Y14" s="604"/>
      <c r="Z14" s="604"/>
      <c r="AA14" s="604"/>
      <c r="AB14" s="604"/>
    </row>
    <row r="15" spans="1:28">
      <c r="A15" s="72" t="s">
        <v>51</v>
      </c>
      <c r="B15" s="74" t="s">
        <v>52</v>
      </c>
      <c r="C15" s="154">
        <f>31958+54</f>
        <v>32012</v>
      </c>
      <c r="D15" s="153">
        <f>32828+72</f>
        <v>32900</v>
      </c>
      <c r="E15" s="157" t="s">
        <v>53</v>
      </c>
      <c r="F15" s="75" t="s">
        <v>54</v>
      </c>
      <c r="G15" s="154"/>
      <c r="H15" s="153"/>
      <c r="J15" s="604"/>
      <c r="K15" s="604"/>
      <c r="L15" s="604"/>
      <c r="M15" s="604"/>
      <c r="N15" s="604"/>
      <c r="O15" s="604"/>
      <c r="P15" s="604"/>
      <c r="Q15" s="604"/>
      <c r="R15" s="604"/>
      <c r="S15" s="604"/>
      <c r="T15" s="604"/>
      <c r="U15" s="604"/>
      <c r="V15" s="604"/>
      <c r="W15" s="604"/>
      <c r="X15" s="604"/>
      <c r="Y15" s="604"/>
      <c r="Z15" s="604"/>
      <c r="AA15" s="604"/>
      <c r="AB15" s="604"/>
    </row>
    <row r="16" spans="1:28">
      <c r="A16" s="72" t="s">
        <v>55</v>
      </c>
      <c r="B16" s="74" t="s">
        <v>56</v>
      </c>
      <c r="C16" s="154">
        <v>98196</v>
      </c>
      <c r="D16" s="153">
        <v>110997</v>
      </c>
      <c r="E16" s="157" t="s">
        <v>57</v>
      </c>
      <c r="F16" s="75" t="s">
        <v>58</v>
      </c>
      <c r="G16" s="154"/>
      <c r="H16" s="153"/>
      <c r="J16" s="604"/>
      <c r="K16" s="604"/>
      <c r="L16" s="604"/>
      <c r="M16" s="604"/>
      <c r="N16" s="604"/>
      <c r="O16" s="604"/>
      <c r="P16" s="604"/>
      <c r="Q16" s="604"/>
      <c r="R16" s="604"/>
      <c r="S16" s="604"/>
      <c r="T16" s="604"/>
      <c r="U16" s="604"/>
      <c r="V16" s="604"/>
      <c r="W16" s="604"/>
      <c r="X16" s="604"/>
      <c r="Y16" s="604"/>
      <c r="Z16" s="604"/>
      <c r="AA16" s="604"/>
      <c r="AB16" s="604"/>
    </row>
    <row r="17" spans="1:28">
      <c r="A17" s="72" t="s">
        <v>59</v>
      </c>
      <c r="B17" s="74" t="s">
        <v>60</v>
      </c>
      <c r="C17" s="154">
        <v>416</v>
      </c>
      <c r="D17" s="153">
        <v>454</v>
      </c>
      <c r="E17" s="157" t="s">
        <v>61</v>
      </c>
      <c r="F17" s="75" t="s">
        <v>62</v>
      </c>
      <c r="G17" s="154"/>
      <c r="H17" s="153"/>
      <c r="J17" s="604"/>
      <c r="K17" s="604"/>
      <c r="L17" s="604"/>
      <c r="M17" s="604"/>
      <c r="N17" s="604"/>
      <c r="O17" s="604"/>
      <c r="P17" s="604"/>
      <c r="Q17" s="604"/>
      <c r="R17" s="604"/>
      <c r="S17" s="604"/>
      <c r="T17" s="604"/>
      <c r="U17" s="604"/>
      <c r="V17" s="604"/>
      <c r="W17" s="604"/>
      <c r="X17" s="604"/>
      <c r="Y17" s="604"/>
      <c r="Z17" s="604"/>
      <c r="AA17" s="604"/>
      <c r="AB17" s="604"/>
    </row>
    <row r="18" spans="1:28" ht="31.5">
      <c r="A18" s="72" t="s">
        <v>63</v>
      </c>
      <c r="B18" s="74" t="s">
        <v>64</v>
      </c>
      <c r="C18" s="154">
        <v>70467</v>
      </c>
      <c r="D18" s="153">
        <v>70021</v>
      </c>
      <c r="E18" s="419" t="s">
        <v>65</v>
      </c>
      <c r="F18" s="418" t="s">
        <v>66</v>
      </c>
      <c r="G18" s="517">
        <f>G12+G15+G16+G17</f>
        <v>96808</v>
      </c>
      <c r="H18" s="518">
        <f>H12+H15+H16+H17</f>
        <v>96808</v>
      </c>
      <c r="J18" s="604"/>
      <c r="K18" s="604"/>
      <c r="L18" s="604"/>
      <c r="M18" s="604"/>
      <c r="N18" s="604"/>
      <c r="O18" s="604"/>
      <c r="P18" s="604"/>
      <c r="Q18" s="604"/>
      <c r="R18" s="604"/>
      <c r="S18" s="604"/>
      <c r="T18" s="604"/>
      <c r="U18" s="604"/>
      <c r="V18" s="604"/>
      <c r="W18" s="604"/>
      <c r="X18" s="604"/>
      <c r="Y18" s="604"/>
      <c r="Z18" s="604"/>
      <c r="AA18" s="604"/>
      <c r="AB18" s="604"/>
    </row>
    <row r="19" spans="1:28">
      <c r="A19" s="72" t="s">
        <v>67</v>
      </c>
      <c r="B19" s="74" t="s">
        <v>68</v>
      </c>
      <c r="C19" s="154">
        <v>842</v>
      </c>
      <c r="D19" s="153">
        <v>790</v>
      </c>
      <c r="E19" s="80" t="s">
        <v>69</v>
      </c>
      <c r="F19" s="76"/>
      <c r="G19" s="519"/>
      <c r="H19" s="520"/>
      <c r="J19" s="604"/>
      <c r="K19" s="604"/>
      <c r="L19" s="604"/>
      <c r="M19" s="604"/>
      <c r="N19" s="604"/>
      <c r="O19" s="604"/>
      <c r="P19" s="604"/>
      <c r="Q19" s="604"/>
      <c r="R19" s="604"/>
      <c r="S19" s="604"/>
      <c r="T19" s="604"/>
      <c r="U19" s="604"/>
      <c r="V19" s="604"/>
      <c r="W19" s="604"/>
      <c r="X19" s="604"/>
      <c r="Y19" s="604"/>
      <c r="Z19" s="604"/>
      <c r="AA19" s="604"/>
      <c r="AB19" s="604"/>
    </row>
    <row r="20" spans="1:28">
      <c r="A20" s="420" t="s">
        <v>70</v>
      </c>
      <c r="B20" s="77" t="s">
        <v>71</v>
      </c>
      <c r="C20" s="505">
        <f>SUM(C12:C19)</f>
        <v>372377</v>
      </c>
      <c r="D20" s="506">
        <f>SUM(D12:D19)</f>
        <v>386192</v>
      </c>
      <c r="E20" s="72" t="s">
        <v>72</v>
      </c>
      <c r="F20" s="75" t="s">
        <v>73</v>
      </c>
      <c r="G20" s="154">
        <v>31016</v>
      </c>
      <c r="H20" s="153">
        <v>31016</v>
      </c>
      <c r="J20" s="604"/>
      <c r="K20" s="604"/>
      <c r="L20" s="604"/>
      <c r="M20" s="604"/>
      <c r="N20" s="604"/>
      <c r="O20" s="604"/>
      <c r="P20" s="604"/>
      <c r="Q20" s="604"/>
      <c r="R20" s="604"/>
      <c r="S20" s="604"/>
      <c r="T20" s="604"/>
      <c r="U20" s="604"/>
      <c r="V20" s="604"/>
      <c r="W20" s="604"/>
      <c r="X20" s="604"/>
      <c r="Y20" s="604"/>
      <c r="Z20" s="604"/>
      <c r="AA20" s="604"/>
      <c r="AB20" s="604"/>
    </row>
    <row r="21" spans="1:28">
      <c r="A21" s="80" t="s">
        <v>74</v>
      </c>
      <c r="B21" s="77" t="s">
        <v>75</v>
      </c>
      <c r="C21" s="414">
        <v>15960</v>
      </c>
      <c r="D21" s="415">
        <v>15363</v>
      </c>
      <c r="E21" s="72" t="s">
        <v>76</v>
      </c>
      <c r="F21" s="75" t="s">
        <v>77</v>
      </c>
      <c r="G21" s="154">
        <f>80440+108</f>
        <v>80548</v>
      </c>
      <c r="H21" s="153">
        <v>80303</v>
      </c>
      <c r="J21" s="604"/>
      <c r="K21" s="604"/>
      <c r="L21" s="604"/>
      <c r="M21" s="604"/>
      <c r="N21" s="604"/>
      <c r="O21" s="604"/>
      <c r="P21" s="604"/>
      <c r="Q21" s="604"/>
      <c r="R21" s="604"/>
      <c r="S21" s="604"/>
      <c r="T21" s="604"/>
      <c r="U21" s="604"/>
      <c r="V21" s="604"/>
      <c r="W21" s="604"/>
      <c r="X21" s="604"/>
      <c r="Y21" s="604"/>
      <c r="Z21" s="604"/>
      <c r="AA21" s="604"/>
      <c r="AB21" s="604"/>
    </row>
    <row r="22" spans="1:28">
      <c r="A22" s="80" t="s">
        <v>78</v>
      </c>
      <c r="B22" s="77" t="s">
        <v>79</v>
      </c>
      <c r="C22" s="414"/>
      <c r="D22" s="415"/>
      <c r="E22" s="158" t="s">
        <v>80</v>
      </c>
      <c r="F22" s="75" t="s">
        <v>81</v>
      </c>
      <c r="G22" s="503">
        <f>SUM(G23:G25)</f>
        <v>16226</v>
      </c>
      <c r="H22" s="504">
        <f>SUM(H23:H25)</f>
        <v>32989</v>
      </c>
      <c r="J22" s="604"/>
      <c r="K22" s="604"/>
      <c r="L22" s="604"/>
      <c r="M22" s="604"/>
      <c r="N22" s="604"/>
      <c r="O22" s="604"/>
      <c r="P22" s="604"/>
      <c r="Q22" s="604"/>
      <c r="R22" s="604"/>
      <c r="S22" s="604"/>
      <c r="T22" s="604"/>
      <c r="U22" s="604"/>
      <c r="V22" s="604"/>
      <c r="W22" s="604"/>
      <c r="X22" s="604"/>
      <c r="Y22" s="604"/>
      <c r="Z22" s="604"/>
      <c r="AA22" s="604"/>
      <c r="AB22" s="604"/>
    </row>
    <row r="23" spans="1:28">
      <c r="A23" s="80" t="s">
        <v>82</v>
      </c>
      <c r="B23" s="74"/>
      <c r="C23" s="503"/>
      <c r="D23" s="504"/>
      <c r="E23" s="157" t="s">
        <v>83</v>
      </c>
      <c r="F23" s="75" t="s">
        <v>84</v>
      </c>
      <c r="G23" s="154">
        <f>12643-8420</f>
        <v>4223</v>
      </c>
      <c r="H23" s="153">
        <f>12430-7867</f>
        <v>4563</v>
      </c>
      <c r="J23" s="604"/>
      <c r="K23" s="604"/>
      <c r="L23" s="604"/>
      <c r="M23" s="604"/>
      <c r="N23" s="604"/>
      <c r="O23" s="604"/>
      <c r="P23" s="604"/>
      <c r="Q23" s="604"/>
      <c r="R23" s="604"/>
      <c r="S23" s="604"/>
      <c r="T23" s="604"/>
      <c r="U23" s="604"/>
      <c r="V23" s="604"/>
      <c r="W23" s="604"/>
      <c r="X23" s="604"/>
      <c r="Y23" s="604"/>
      <c r="Z23" s="604"/>
      <c r="AA23" s="604"/>
      <c r="AB23" s="604"/>
    </row>
    <row r="24" spans="1:28">
      <c r="A24" s="72" t="s">
        <v>85</v>
      </c>
      <c r="B24" s="74" t="s">
        <v>86</v>
      </c>
      <c r="C24" s="154">
        <v>1610</v>
      </c>
      <c r="D24" s="153">
        <v>1645</v>
      </c>
      <c r="E24" s="159" t="s">
        <v>87</v>
      </c>
      <c r="F24" s="75" t="s">
        <v>88</v>
      </c>
      <c r="G24" s="154"/>
      <c r="H24" s="153"/>
      <c r="J24" s="604"/>
      <c r="K24" s="604"/>
      <c r="L24" s="604"/>
      <c r="M24" s="604"/>
      <c r="N24" s="604"/>
      <c r="O24" s="604"/>
      <c r="P24" s="604"/>
      <c r="Q24" s="604"/>
      <c r="R24" s="604"/>
      <c r="S24" s="604"/>
      <c r="T24" s="604"/>
      <c r="U24" s="604"/>
      <c r="V24" s="604"/>
      <c r="W24" s="604"/>
      <c r="X24" s="604"/>
      <c r="Y24" s="604"/>
      <c r="Z24" s="604"/>
      <c r="AA24" s="604"/>
      <c r="AB24" s="604"/>
    </row>
    <row r="25" spans="1:28">
      <c r="A25" s="72" t="s">
        <v>89</v>
      </c>
      <c r="B25" s="74" t="s">
        <v>90</v>
      </c>
      <c r="C25" s="154">
        <v>216</v>
      </c>
      <c r="D25" s="153">
        <v>247</v>
      </c>
      <c r="E25" s="72" t="s">
        <v>91</v>
      </c>
      <c r="F25" s="75" t="s">
        <v>92</v>
      </c>
      <c r="G25" s="154">
        <v>12003</v>
      </c>
      <c r="H25" s="153">
        <v>28426</v>
      </c>
      <c r="J25" s="604"/>
      <c r="K25" s="604"/>
      <c r="L25" s="604"/>
      <c r="M25" s="604"/>
      <c r="N25" s="604"/>
      <c r="O25" s="604"/>
      <c r="P25" s="604"/>
      <c r="Q25" s="604"/>
      <c r="R25" s="604"/>
      <c r="S25" s="604"/>
      <c r="T25" s="604"/>
      <c r="U25" s="604"/>
      <c r="V25" s="604"/>
      <c r="W25" s="604"/>
      <c r="X25" s="604"/>
      <c r="Y25" s="604"/>
      <c r="Z25" s="604"/>
      <c r="AA25" s="604"/>
      <c r="AB25" s="604"/>
    </row>
    <row r="26" spans="1:28">
      <c r="A26" s="72" t="s">
        <v>93</v>
      </c>
      <c r="B26" s="74" t="s">
        <v>94</v>
      </c>
      <c r="C26" s="154"/>
      <c r="D26" s="153"/>
      <c r="E26" s="422" t="s">
        <v>95</v>
      </c>
      <c r="F26" s="76" t="s">
        <v>96</v>
      </c>
      <c r="G26" s="505">
        <f>G20+G21+G22</f>
        <v>127790</v>
      </c>
      <c r="H26" s="506">
        <f>H20+H21+H22</f>
        <v>144308</v>
      </c>
      <c r="J26" s="604"/>
      <c r="K26" s="604"/>
      <c r="L26" s="604"/>
      <c r="M26" s="604"/>
      <c r="N26" s="604"/>
      <c r="O26" s="604"/>
      <c r="P26" s="604"/>
      <c r="Q26" s="604"/>
      <c r="R26" s="604"/>
      <c r="S26" s="604"/>
      <c r="T26" s="604"/>
      <c r="U26" s="604"/>
      <c r="V26" s="604"/>
      <c r="W26" s="604"/>
      <c r="X26" s="604"/>
      <c r="Y26" s="604"/>
      <c r="Z26" s="604"/>
      <c r="AA26" s="604"/>
      <c r="AB26" s="604"/>
    </row>
    <row r="27" spans="1:28">
      <c r="A27" s="72" t="s">
        <v>97</v>
      </c>
      <c r="B27" s="74" t="s">
        <v>98</v>
      </c>
      <c r="C27" s="154">
        <f>265+3</f>
        <v>268</v>
      </c>
      <c r="D27" s="153">
        <v>304</v>
      </c>
      <c r="E27" s="80" t="s">
        <v>99</v>
      </c>
      <c r="F27" s="76"/>
      <c r="G27" s="519"/>
      <c r="H27" s="520"/>
      <c r="J27" s="604"/>
      <c r="K27" s="604"/>
      <c r="L27" s="604"/>
      <c r="M27" s="604"/>
      <c r="N27" s="604"/>
      <c r="O27" s="604"/>
      <c r="P27" s="604"/>
      <c r="Q27" s="604"/>
      <c r="R27" s="604"/>
      <c r="S27" s="604"/>
      <c r="T27" s="604"/>
      <c r="U27" s="604"/>
      <c r="V27" s="604"/>
      <c r="W27" s="604"/>
      <c r="X27" s="604"/>
      <c r="Y27" s="604"/>
      <c r="Z27" s="604"/>
      <c r="AA27" s="604"/>
      <c r="AB27" s="604"/>
    </row>
    <row r="28" spans="1:28">
      <c r="A28" s="420" t="s">
        <v>100</v>
      </c>
      <c r="B28" s="77" t="s">
        <v>101</v>
      </c>
      <c r="C28" s="505">
        <f>SUM(C24:C27)</f>
        <v>2094</v>
      </c>
      <c r="D28" s="506">
        <f>SUM(D24:D27)</f>
        <v>2196</v>
      </c>
      <c r="E28" s="159" t="s">
        <v>102</v>
      </c>
      <c r="F28" s="75" t="s">
        <v>103</v>
      </c>
      <c r="G28" s="503">
        <f>SUM(G29:G31)</f>
        <v>167539</v>
      </c>
      <c r="H28" s="504">
        <f>SUM(H29:H31)</f>
        <v>149199</v>
      </c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  <c r="W28" s="604"/>
      <c r="X28" s="604"/>
      <c r="Y28" s="604"/>
      <c r="Z28" s="604"/>
      <c r="AA28" s="604"/>
      <c r="AB28" s="604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4">
        <v>167539</v>
      </c>
      <c r="H29" s="153">
        <v>149199</v>
      </c>
      <c r="J29" s="604"/>
      <c r="K29" s="604"/>
      <c r="L29" s="604"/>
      <c r="M29" s="604"/>
      <c r="N29" s="604"/>
      <c r="O29" s="604"/>
      <c r="P29" s="604"/>
      <c r="Q29" s="604"/>
      <c r="R29" s="604"/>
      <c r="S29" s="604"/>
      <c r="T29" s="604"/>
      <c r="U29" s="604"/>
      <c r="V29" s="604"/>
      <c r="W29" s="604"/>
      <c r="X29" s="604"/>
      <c r="Y29" s="604"/>
      <c r="Z29" s="604"/>
      <c r="AA29" s="604"/>
      <c r="AB29" s="604"/>
    </row>
    <row r="30" spans="1:28">
      <c r="A30" s="80" t="s">
        <v>106</v>
      </c>
      <c r="B30" s="74"/>
      <c r="C30" s="503"/>
      <c r="D30" s="504"/>
      <c r="E30" s="158" t="s">
        <v>107</v>
      </c>
      <c r="F30" s="75" t="s">
        <v>108</v>
      </c>
      <c r="G30" s="154"/>
      <c r="H30" s="153"/>
      <c r="J30" s="604"/>
      <c r="K30" s="604"/>
      <c r="L30" s="604"/>
      <c r="M30" s="604"/>
      <c r="N30" s="604"/>
      <c r="O30" s="604"/>
      <c r="P30" s="604"/>
      <c r="Q30" s="604"/>
      <c r="R30" s="604"/>
      <c r="S30" s="604"/>
      <c r="T30" s="604"/>
      <c r="U30" s="604"/>
      <c r="V30" s="604"/>
      <c r="W30" s="604"/>
      <c r="X30" s="604"/>
      <c r="Y30" s="604"/>
      <c r="Z30" s="604"/>
      <c r="AA30" s="604"/>
      <c r="AB30" s="604"/>
    </row>
    <row r="31" spans="1:28">
      <c r="A31" s="72" t="s">
        <v>109</v>
      </c>
      <c r="B31" s="74" t="s">
        <v>110</v>
      </c>
      <c r="C31" s="154">
        <v>4329</v>
      </c>
      <c r="D31" s="153">
        <v>4329</v>
      </c>
      <c r="E31" s="72" t="s">
        <v>111</v>
      </c>
      <c r="F31" s="75" t="s">
        <v>112</v>
      </c>
      <c r="G31" s="154"/>
      <c r="H31" s="153"/>
      <c r="J31" s="604"/>
      <c r="K31" s="604"/>
      <c r="L31" s="604"/>
      <c r="M31" s="604"/>
      <c r="N31" s="604"/>
      <c r="O31" s="604"/>
      <c r="P31" s="604"/>
      <c r="Q31" s="604"/>
      <c r="R31" s="604"/>
      <c r="S31" s="604"/>
      <c r="T31" s="604"/>
      <c r="U31" s="604"/>
      <c r="V31" s="604"/>
      <c r="W31" s="604"/>
      <c r="X31" s="604"/>
      <c r="Y31" s="604"/>
      <c r="Z31" s="604"/>
      <c r="AA31" s="604"/>
      <c r="AB31" s="604"/>
    </row>
    <row r="32" spans="1:28">
      <c r="A32" s="72" t="s">
        <v>113</v>
      </c>
      <c r="B32" s="74" t="s">
        <v>114</v>
      </c>
      <c r="C32" s="154"/>
      <c r="D32" s="153"/>
      <c r="E32" s="159" t="s">
        <v>115</v>
      </c>
      <c r="F32" s="75" t="s">
        <v>116</v>
      </c>
      <c r="G32" s="154"/>
      <c r="H32" s="153">
        <v>17637</v>
      </c>
      <c r="J32" s="604"/>
      <c r="K32" s="604"/>
      <c r="L32" s="604"/>
      <c r="M32" s="604"/>
      <c r="N32" s="604"/>
      <c r="O32" s="604"/>
      <c r="P32" s="604"/>
      <c r="Q32" s="604"/>
      <c r="R32" s="604"/>
      <c r="S32" s="604"/>
      <c r="T32" s="604"/>
      <c r="U32" s="604"/>
      <c r="V32" s="604"/>
      <c r="W32" s="604"/>
      <c r="X32" s="604"/>
      <c r="Y32" s="604"/>
      <c r="Z32" s="604"/>
      <c r="AA32" s="604"/>
      <c r="AB32" s="604"/>
    </row>
    <row r="33" spans="1:28">
      <c r="A33" s="420" t="s">
        <v>117</v>
      </c>
      <c r="B33" s="77" t="s">
        <v>118</v>
      </c>
      <c r="C33" s="505">
        <f>C31+C32</f>
        <v>4329</v>
      </c>
      <c r="D33" s="506">
        <f>D31+D32</f>
        <v>4329</v>
      </c>
      <c r="E33" s="157" t="s">
        <v>119</v>
      </c>
      <c r="F33" s="75" t="s">
        <v>120</v>
      </c>
      <c r="G33" s="154">
        <v>-1461</v>
      </c>
      <c r="H33" s="153"/>
      <c r="J33" s="604"/>
      <c r="K33" s="604"/>
      <c r="L33" s="604"/>
      <c r="M33" s="604"/>
      <c r="N33" s="604"/>
      <c r="O33" s="604"/>
      <c r="P33" s="604"/>
      <c r="Q33" s="604"/>
      <c r="R33" s="604"/>
      <c r="S33" s="604"/>
      <c r="T33" s="604"/>
      <c r="U33" s="604"/>
      <c r="V33" s="604"/>
      <c r="W33" s="604"/>
      <c r="X33" s="604"/>
      <c r="Y33" s="604"/>
      <c r="Z33" s="604"/>
      <c r="AA33" s="604"/>
      <c r="AB33" s="604"/>
    </row>
    <row r="34" spans="1:28">
      <c r="A34" s="80" t="s">
        <v>121</v>
      </c>
      <c r="B34" s="74"/>
      <c r="C34" s="503"/>
      <c r="D34" s="504"/>
      <c r="E34" s="422" t="s">
        <v>122</v>
      </c>
      <c r="F34" s="76" t="s">
        <v>123</v>
      </c>
      <c r="G34" s="505">
        <f>G28+G32+G33</f>
        <v>166078</v>
      </c>
      <c r="H34" s="506">
        <f>H28+H32+H33</f>
        <v>166836</v>
      </c>
      <c r="J34" s="604"/>
      <c r="K34" s="604"/>
      <c r="L34" s="604"/>
      <c r="M34" s="604"/>
      <c r="N34" s="604"/>
      <c r="O34" s="604"/>
      <c r="P34" s="604"/>
      <c r="Q34" s="604"/>
      <c r="R34" s="604"/>
      <c r="S34" s="604"/>
      <c r="T34" s="604"/>
      <c r="U34" s="604"/>
      <c r="V34" s="604"/>
      <c r="W34" s="604"/>
      <c r="X34" s="604"/>
      <c r="Y34" s="604"/>
      <c r="Z34" s="604"/>
      <c r="AA34" s="604"/>
      <c r="AB34" s="604"/>
    </row>
    <row r="35" spans="1:28">
      <c r="A35" s="72" t="s">
        <v>124</v>
      </c>
      <c r="B35" s="74" t="s">
        <v>125</v>
      </c>
      <c r="C35" s="503">
        <f>SUM(C36:C39)</f>
        <v>23</v>
      </c>
      <c r="D35" s="504">
        <f>SUM(D36:D39)</f>
        <v>23</v>
      </c>
      <c r="E35" s="72"/>
      <c r="F35" s="79"/>
      <c r="G35" s="521"/>
      <c r="H35" s="522"/>
      <c r="J35" s="604"/>
      <c r="K35" s="604"/>
      <c r="L35" s="604"/>
      <c r="M35" s="604"/>
      <c r="N35" s="604"/>
      <c r="O35" s="604"/>
      <c r="P35" s="604"/>
      <c r="Q35" s="604"/>
      <c r="R35" s="604"/>
      <c r="S35" s="604"/>
      <c r="T35" s="604"/>
      <c r="U35" s="604"/>
      <c r="V35" s="604"/>
      <c r="W35" s="604"/>
      <c r="X35" s="604"/>
      <c r="Y35" s="604"/>
      <c r="Z35" s="604"/>
      <c r="AA35" s="604"/>
      <c r="AB35" s="604"/>
    </row>
    <row r="36" spans="1:28">
      <c r="A36" s="72" t="s">
        <v>126</v>
      </c>
      <c r="B36" s="74" t="s">
        <v>127</v>
      </c>
      <c r="C36" s="154"/>
      <c r="D36" s="153"/>
      <c r="E36" s="160"/>
      <c r="F36" s="81"/>
      <c r="G36" s="521"/>
      <c r="H36" s="522"/>
      <c r="J36" s="604"/>
      <c r="K36" s="604"/>
      <c r="L36" s="604"/>
      <c r="M36" s="604"/>
      <c r="N36" s="604"/>
      <c r="O36" s="604"/>
      <c r="P36" s="604"/>
      <c r="Q36" s="604"/>
      <c r="R36" s="604"/>
      <c r="S36" s="604"/>
      <c r="T36" s="604"/>
      <c r="U36" s="604"/>
      <c r="V36" s="604"/>
      <c r="W36" s="604"/>
      <c r="X36" s="604"/>
      <c r="Y36" s="604"/>
      <c r="Z36" s="604"/>
      <c r="AA36" s="604"/>
      <c r="AB36" s="604"/>
    </row>
    <row r="37" spans="1:28">
      <c r="A37" s="72" t="s">
        <v>128</v>
      </c>
      <c r="B37" s="74" t="s">
        <v>129</v>
      </c>
      <c r="C37" s="154"/>
      <c r="D37" s="153"/>
      <c r="E37" s="421" t="s">
        <v>130</v>
      </c>
      <c r="F37" s="79" t="s">
        <v>131</v>
      </c>
      <c r="G37" s="507">
        <f>G26+G18+G34</f>
        <v>390676</v>
      </c>
      <c r="H37" s="508">
        <f>H26+H18+H34</f>
        <v>407952</v>
      </c>
      <c r="J37" s="604"/>
      <c r="K37" s="604"/>
      <c r="L37" s="604"/>
      <c r="M37" s="604"/>
      <c r="N37" s="604"/>
      <c r="O37" s="604"/>
      <c r="P37" s="604"/>
      <c r="Q37" s="604"/>
      <c r="R37" s="604"/>
      <c r="S37" s="604"/>
      <c r="T37" s="604"/>
      <c r="U37" s="604"/>
      <c r="V37" s="604"/>
      <c r="W37" s="604"/>
      <c r="X37" s="604"/>
      <c r="Y37" s="604"/>
      <c r="Z37" s="604"/>
      <c r="AA37" s="604"/>
      <c r="AB37" s="604"/>
    </row>
    <row r="38" spans="1:28">
      <c r="A38" s="72" t="s">
        <v>132</v>
      </c>
      <c r="B38" s="74" t="s">
        <v>133</v>
      </c>
      <c r="C38" s="154">
        <v>23</v>
      </c>
      <c r="D38" s="153">
        <v>23</v>
      </c>
      <c r="E38" s="72"/>
      <c r="F38" s="79"/>
      <c r="G38" s="521"/>
      <c r="H38" s="522"/>
      <c r="J38" s="604"/>
      <c r="K38" s="604"/>
      <c r="L38" s="604"/>
      <c r="M38" s="604"/>
      <c r="N38" s="604"/>
      <c r="O38" s="604"/>
      <c r="P38" s="604"/>
      <c r="Q38" s="604"/>
      <c r="R38" s="604"/>
      <c r="S38" s="604"/>
      <c r="T38" s="604"/>
      <c r="U38" s="604"/>
      <c r="V38" s="604"/>
      <c r="W38" s="604"/>
      <c r="X38" s="604"/>
      <c r="Y38" s="604"/>
      <c r="Z38" s="604"/>
      <c r="AA38" s="604"/>
      <c r="AB38" s="604"/>
    </row>
    <row r="39" spans="1:28" ht="16.5" thickBot="1">
      <c r="A39" s="72" t="s">
        <v>134</v>
      </c>
      <c r="B39" s="74" t="s">
        <v>135</v>
      </c>
      <c r="C39" s="154"/>
      <c r="D39" s="153"/>
      <c r="E39" s="170"/>
      <c r="F39" s="171"/>
      <c r="G39" s="523"/>
      <c r="H39" s="524"/>
      <c r="J39" s="604"/>
      <c r="K39" s="604"/>
      <c r="L39" s="604"/>
      <c r="M39" s="604"/>
      <c r="N39" s="604"/>
      <c r="O39" s="604"/>
      <c r="P39" s="604"/>
      <c r="Q39" s="604"/>
      <c r="R39" s="604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2" t="s">
        <v>138</v>
      </c>
      <c r="F40" s="169" t="s">
        <v>139</v>
      </c>
      <c r="G40" s="490">
        <v>395</v>
      </c>
      <c r="H40" s="491">
        <v>1053</v>
      </c>
      <c r="J40" s="604"/>
      <c r="K40" s="604"/>
      <c r="L40" s="604"/>
      <c r="M40" s="604"/>
      <c r="N40" s="604"/>
      <c r="O40" s="604"/>
      <c r="P40" s="604"/>
      <c r="Q40" s="604"/>
      <c r="R40" s="604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</row>
    <row r="41" spans="1:28" ht="16.5" thickBot="1">
      <c r="A41" s="72" t="s">
        <v>140</v>
      </c>
      <c r="B41" s="74" t="s">
        <v>141</v>
      </c>
      <c r="C41" s="154"/>
      <c r="D41" s="153"/>
      <c r="E41" s="174"/>
      <c r="F41" s="168"/>
      <c r="G41" s="523"/>
      <c r="H41" s="524"/>
      <c r="J41" s="604"/>
      <c r="K41" s="604"/>
      <c r="L41" s="604"/>
      <c r="M41" s="604"/>
      <c r="N41" s="604"/>
      <c r="O41" s="604"/>
      <c r="P41" s="604"/>
      <c r="Q41" s="604"/>
      <c r="R41" s="604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</row>
    <row r="42" spans="1:28">
      <c r="A42" s="72" t="s">
        <v>142</v>
      </c>
      <c r="B42" s="74" t="s">
        <v>143</v>
      </c>
      <c r="C42" s="154"/>
      <c r="D42" s="153"/>
      <c r="E42" s="172" t="s">
        <v>144</v>
      </c>
      <c r="F42" s="175"/>
      <c r="G42" s="525"/>
      <c r="H42" s="526"/>
      <c r="J42" s="604"/>
      <c r="K42" s="604"/>
      <c r="L42" s="604"/>
      <c r="M42" s="604"/>
      <c r="N42" s="604"/>
      <c r="O42" s="604"/>
      <c r="P42" s="604"/>
      <c r="Q42" s="604"/>
      <c r="R42" s="604"/>
      <c r="S42" s="604"/>
      <c r="T42" s="604"/>
      <c r="U42" s="604"/>
      <c r="V42" s="604"/>
      <c r="W42" s="604"/>
      <c r="X42" s="604"/>
      <c r="Y42" s="604"/>
      <c r="Z42" s="604"/>
      <c r="AA42" s="604"/>
      <c r="AB42" s="604"/>
    </row>
    <row r="43" spans="1:28">
      <c r="A43" s="72" t="s">
        <v>145</v>
      </c>
      <c r="B43" s="74" t="s">
        <v>146</v>
      </c>
      <c r="C43" s="154"/>
      <c r="D43" s="153"/>
      <c r="E43" s="80" t="s">
        <v>147</v>
      </c>
      <c r="F43" s="81"/>
      <c r="G43" s="521"/>
      <c r="H43" s="522"/>
      <c r="J43" s="604"/>
      <c r="K43" s="604"/>
      <c r="L43" s="604"/>
      <c r="M43" s="604"/>
      <c r="N43" s="604"/>
      <c r="O43" s="604"/>
      <c r="P43" s="604"/>
      <c r="Q43" s="604"/>
      <c r="R43" s="604"/>
      <c r="S43" s="604"/>
      <c r="T43" s="604"/>
      <c r="U43" s="604"/>
      <c r="V43" s="604"/>
      <c r="W43" s="604"/>
      <c r="X43" s="604"/>
      <c r="Y43" s="604"/>
      <c r="Z43" s="604"/>
      <c r="AA43" s="604"/>
      <c r="AB43" s="604"/>
    </row>
    <row r="44" spans="1:28">
      <c r="A44" s="72" t="s">
        <v>148</v>
      </c>
      <c r="B44" s="74" t="s">
        <v>149</v>
      </c>
      <c r="C44" s="154"/>
      <c r="D44" s="153"/>
      <c r="E44" s="157" t="s">
        <v>150</v>
      </c>
      <c r="F44" s="75" t="s">
        <v>151</v>
      </c>
      <c r="G44" s="154">
        <f>10500+11</f>
        <v>10511</v>
      </c>
      <c r="H44" s="153">
        <v>7011</v>
      </c>
      <c r="J44" s="604"/>
      <c r="K44" s="604"/>
      <c r="L44" s="604"/>
      <c r="M44" s="604"/>
      <c r="N44" s="604"/>
      <c r="O44" s="604"/>
      <c r="P44" s="604"/>
      <c r="Q44" s="604"/>
      <c r="R44" s="604"/>
      <c r="S44" s="604"/>
      <c r="T44" s="604"/>
      <c r="U44" s="604"/>
      <c r="V44" s="604"/>
      <c r="W44" s="604"/>
      <c r="X44" s="604"/>
      <c r="Y44" s="604"/>
      <c r="Z44" s="604"/>
      <c r="AA44" s="604"/>
      <c r="AB44" s="604"/>
    </row>
    <row r="45" spans="1:28">
      <c r="A45" s="72" t="s">
        <v>152</v>
      </c>
      <c r="B45" s="74" t="s">
        <v>153</v>
      </c>
      <c r="C45" s="154">
        <v>3977</v>
      </c>
      <c r="D45" s="153"/>
      <c r="E45" s="163" t="s">
        <v>154</v>
      </c>
      <c r="F45" s="75" t="s">
        <v>155</v>
      </c>
      <c r="G45" s="154">
        <v>10442</v>
      </c>
      <c r="H45" s="153">
        <v>12495</v>
      </c>
      <c r="J45" s="604"/>
      <c r="K45" s="604"/>
      <c r="L45" s="604"/>
      <c r="M45" s="604"/>
      <c r="N45" s="604"/>
      <c r="O45" s="604"/>
      <c r="P45" s="604"/>
      <c r="Q45" s="604"/>
      <c r="R45" s="604"/>
      <c r="S45" s="604"/>
      <c r="T45" s="604"/>
      <c r="U45" s="604"/>
      <c r="V45" s="604"/>
      <c r="W45" s="604"/>
      <c r="X45" s="604"/>
      <c r="Y45" s="604"/>
      <c r="Z45" s="604"/>
      <c r="AA45" s="604"/>
      <c r="AB45" s="604"/>
    </row>
    <row r="46" spans="1:28">
      <c r="A46" s="411" t="s">
        <v>156</v>
      </c>
      <c r="B46" s="77" t="s">
        <v>157</v>
      </c>
      <c r="C46" s="505">
        <f>C35+C40+C45</f>
        <v>4000</v>
      </c>
      <c r="D46" s="506">
        <f>D35+D40+D45</f>
        <v>23</v>
      </c>
      <c r="E46" s="158" t="s">
        <v>158</v>
      </c>
      <c r="F46" s="75" t="s">
        <v>159</v>
      </c>
      <c r="G46" s="154"/>
      <c r="H46" s="153"/>
      <c r="J46" s="604"/>
      <c r="K46" s="604"/>
      <c r="L46" s="604"/>
      <c r="M46" s="604"/>
      <c r="N46" s="604"/>
      <c r="O46" s="604"/>
      <c r="P46" s="604"/>
      <c r="Q46" s="604"/>
      <c r="R46" s="604"/>
      <c r="S46" s="604"/>
      <c r="T46" s="604"/>
      <c r="U46" s="604"/>
      <c r="V46" s="604"/>
      <c r="W46" s="604"/>
      <c r="X46" s="604"/>
      <c r="Y46" s="604"/>
      <c r="Z46" s="604"/>
      <c r="AA46" s="604"/>
      <c r="AB46" s="604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4"/>
      <c r="H47" s="153"/>
      <c r="J47" s="604"/>
      <c r="K47" s="604"/>
      <c r="L47" s="604"/>
      <c r="M47" s="604"/>
      <c r="N47" s="604"/>
      <c r="O47" s="604"/>
      <c r="P47" s="604"/>
      <c r="Q47" s="604"/>
      <c r="R47" s="604"/>
      <c r="S47" s="604"/>
      <c r="T47" s="604"/>
      <c r="U47" s="604"/>
      <c r="V47" s="604"/>
      <c r="W47" s="604"/>
      <c r="X47" s="604"/>
      <c r="Y47" s="604"/>
      <c r="Z47" s="604"/>
      <c r="AA47" s="604"/>
      <c r="AB47" s="604"/>
    </row>
    <row r="48" spans="1:28">
      <c r="A48" s="72" t="s">
        <v>163</v>
      </c>
      <c r="B48" s="74" t="s">
        <v>164</v>
      </c>
      <c r="C48" s="154">
        <v>56</v>
      </c>
      <c r="D48" s="153">
        <f>51+5</f>
        <v>56</v>
      </c>
      <c r="E48" s="158" t="s">
        <v>165</v>
      </c>
      <c r="F48" s="75" t="s">
        <v>166</v>
      </c>
      <c r="G48" s="154"/>
      <c r="H48" s="153"/>
      <c r="J48" s="604"/>
      <c r="K48" s="604"/>
      <c r="L48" s="604"/>
      <c r="M48" s="604"/>
      <c r="N48" s="604"/>
      <c r="O48" s="604"/>
      <c r="P48" s="604"/>
      <c r="Q48" s="604"/>
      <c r="R48" s="604"/>
      <c r="S48" s="604"/>
      <c r="T48" s="604"/>
      <c r="U48" s="604"/>
      <c r="V48" s="604"/>
      <c r="W48" s="604"/>
      <c r="X48" s="604"/>
      <c r="Y48" s="604"/>
      <c r="Z48" s="604"/>
      <c r="AA48" s="604"/>
      <c r="AB48" s="604"/>
    </row>
    <row r="49" spans="1:28">
      <c r="A49" s="72" t="s">
        <v>167</v>
      </c>
      <c r="B49" s="74" t="s">
        <v>168</v>
      </c>
      <c r="C49" s="154"/>
      <c r="D49" s="153"/>
      <c r="E49" s="72" t="s">
        <v>169</v>
      </c>
      <c r="F49" s="75" t="s">
        <v>170</v>
      </c>
      <c r="G49" s="154">
        <f>1862+26</f>
        <v>1888</v>
      </c>
      <c r="H49" s="153">
        <f>1994+36</f>
        <v>2030</v>
      </c>
      <c r="J49" s="604"/>
      <c r="K49" s="604"/>
      <c r="L49" s="604"/>
      <c r="M49" s="604"/>
      <c r="N49" s="604"/>
      <c r="O49" s="604"/>
      <c r="P49" s="604"/>
      <c r="Q49" s="604"/>
      <c r="R49" s="604"/>
      <c r="S49" s="604"/>
      <c r="T49" s="604"/>
      <c r="U49" s="604"/>
      <c r="V49" s="604"/>
      <c r="W49" s="604"/>
      <c r="X49" s="604"/>
      <c r="Y49" s="604"/>
      <c r="Z49" s="604"/>
      <c r="AA49" s="604"/>
      <c r="AB49" s="604"/>
    </row>
    <row r="50" spans="1:28">
      <c r="A50" s="72" t="s">
        <v>171</v>
      </c>
      <c r="B50" s="74" t="s">
        <v>172</v>
      </c>
      <c r="C50" s="154"/>
      <c r="D50" s="153"/>
      <c r="E50" s="158" t="s">
        <v>70</v>
      </c>
      <c r="F50" s="76" t="s">
        <v>173</v>
      </c>
      <c r="G50" s="503">
        <f>SUM(G44:G49)</f>
        <v>22841</v>
      </c>
      <c r="H50" s="504">
        <f>SUM(H44:H49)</f>
        <v>21536</v>
      </c>
      <c r="J50" s="604"/>
      <c r="K50" s="604"/>
      <c r="L50" s="604"/>
      <c r="M50" s="604"/>
      <c r="N50" s="604"/>
      <c r="O50" s="604"/>
      <c r="P50" s="604"/>
      <c r="Q50" s="604"/>
      <c r="R50" s="604"/>
      <c r="S50" s="604"/>
      <c r="T50" s="604"/>
      <c r="U50" s="604"/>
      <c r="V50" s="604"/>
      <c r="W50" s="604"/>
      <c r="X50" s="604"/>
      <c r="Y50" s="604"/>
      <c r="Z50" s="604"/>
      <c r="AA50" s="604"/>
      <c r="AB50" s="604"/>
    </row>
    <row r="51" spans="1:28">
      <c r="A51" s="72" t="s">
        <v>97</v>
      </c>
      <c r="B51" s="74" t="s">
        <v>174</v>
      </c>
      <c r="C51" s="154">
        <v>5</v>
      </c>
      <c r="D51" s="153">
        <v>5</v>
      </c>
      <c r="E51" s="72"/>
      <c r="F51" s="75"/>
      <c r="G51" s="503"/>
      <c r="H51" s="504"/>
      <c r="J51" s="604"/>
      <c r="K51" s="604"/>
      <c r="L51" s="604"/>
      <c r="M51" s="604"/>
      <c r="N51" s="604"/>
      <c r="O51" s="604"/>
      <c r="P51" s="604"/>
      <c r="Q51" s="604"/>
      <c r="R51" s="604"/>
      <c r="S51" s="604"/>
      <c r="T51" s="604"/>
      <c r="U51" s="604"/>
      <c r="V51" s="604"/>
      <c r="W51" s="604"/>
      <c r="X51" s="604"/>
      <c r="Y51" s="604"/>
      <c r="Z51" s="604"/>
      <c r="AA51" s="604"/>
      <c r="AB51" s="604"/>
    </row>
    <row r="52" spans="1:28">
      <c r="A52" s="420" t="s">
        <v>175</v>
      </c>
      <c r="B52" s="77" t="s">
        <v>176</v>
      </c>
      <c r="C52" s="505">
        <f>SUM(C48:C51)</f>
        <v>61</v>
      </c>
      <c r="D52" s="506">
        <f>SUM(D48:D51)</f>
        <v>61</v>
      </c>
      <c r="E52" s="158" t="s">
        <v>177</v>
      </c>
      <c r="F52" s="76" t="s">
        <v>178</v>
      </c>
      <c r="G52" s="154">
        <f>1212+147</f>
        <v>1359</v>
      </c>
      <c r="H52" s="153">
        <f>1310+307</f>
        <v>1617</v>
      </c>
      <c r="J52" s="604"/>
      <c r="K52" s="604"/>
      <c r="L52" s="604"/>
      <c r="M52" s="604"/>
      <c r="N52" s="604"/>
      <c r="O52" s="604"/>
      <c r="P52" s="604"/>
      <c r="Q52" s="604"/>
      <c r="R52" s="604"/>
      <c r="S52" s="604"/>
      <c r="T52" s="604"/>
      <c r="U52" s="604"/>
      <c r="V52" s="604"/>
      <c r="W52" s="604"/>
      <c r="X52" s="604"/>
      <c r="Y52" s="604"/>
      <c r="Z52" s="604"/>
      <c r="AA52" s="604"/>
      <c r="AB52" s="604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4"/>
      <c r="H53" s="153"/>
      <c r="J53" s="604"/>
      <c r="K53" s="604"/>
      <c r="L53" s="604"/>
      <c r="M53" s="604"/>
      <c r="N53" s="604"/>
      <c r="O53" s="604"/>
      <c r="P53" s="604"/>
      <c r="Q53" s="604"/>
      <c r="R53" s="604"/>
      <c r="S53" s="604"/>
      <c r="T53" s="604"/>
      <c r="U53" s="604"/>
      <c r="V53" s="604"/>
      <c r="W53" s="604"/>
      <c r="X53" s="604"/>
      <c r="Y53" s="604"/>
      <c r="Z53" s="604"/>
      <c r="AA53" s="604"/>
      <c r="AB53" s="604"/>
    </row>
    <row r="54" spans="1:28">
      <c r="A54" s="80" t="s">
        <v>182</v>
      </c>
      <c r="B54" s="77" t="s">
        <v>183</v>
      </c>
      <c r="C54" s="416"/>
      <c r="D54" s="417">
        <v>0</v>
      </c>
      <c r="E54" s="72" t="s">
        <v>184</v>
      </c>
      <c r="F54" s="76" t="s">
        <v>185</v>
      </c>
      <c r="G54" s="154">
        <v>11639</v>
      </c>
      <c r="H54" s="153">
        <v>11610</v>
      </c>
      <c r="J54" s="604"/>
      <c r="K54" s="604"/>
      <c r="L54" s="604"/>
      <c r="M54" s="604"/>
      <c r="N54" s="604"/>
      <c r="O54" s="604"/>
      <c r="P54" s="604"/>
      <c r="Q54" s="604"/>
      <c r="R54" s="604"/>
      <c r="S54" s="604"/>
      <c r="T54" s="604"/>
      <c r="U54" s="604"/>
      <c r="V54" s="604"/>
      <c r="W54" s="604"/>
      <c r="X54" s="604"/>
      <c r="Y54" s="604"/>
      <c r="Z54" s="604"/>
      <c r="AA54" s="604"/>
      <c r="AB54" s="604"/>
    </row>
    <row r="55" spans="1:28">
      <c r="A55" s="80" t="s">
        <v>186</v>
      </c>
      <c r="B55" s="77" t="s">
        <v>187</v>
      </c>
      <c r="C55" s="416">
        <v>47</v>
      </c>
      <c r="D55" s="417">
        <v>56</v>
      </c>
      <c r="E55" s="72" t="s">
        <v>188</v>
      </c>
      <c r="F55" s="76" t="s">
        <v>189</v>
      </c>
      <c r="G55" s="154">
        <v>1051</v>
      </c>
      <c r="H55" s="153">
        <v>1103</v>
      </c>
    </row>
    <row r="56" spans="1:28" ht="16.5" thickBot="1">
      <c r="A56" s="413" t="s">
        <v>190</v>
      </c>
      <c r="B56" s="165" t="s">
        <v>191</v>
      </c>
      <c r="C56" s="509">
        <f>C20+C21+C22+C28+C33+C46+C52+C54+C55</f>
        <v>398868</v>
      </c>
      <c r="D56" s="510">
        <f>D20+D21+D22+D28+D33+D46+D52+D54+D55</f>
        <v>408220</v>
      </c>
      <c r="E56" s="80" t="s">
        <v>192</v>
      </c>
      <c r="F56" s="79" t="s">
        <v>193</v>
      </c>
      <c r="G56" s="507">
        <f>G50+G52+G53+G54+G55</f>
        <v>36890</v>
      </c>
      <c r="H56" s="508">
        <f>H50+H52+H53+H54+H55</f>
        <v>35866</v>
      </c>
      <c r="M56" s="78"/>
    </row>
    <row r="57" spans="1:28">
      <c r="A57" s="166" t="s">
        <v>194</v>
      </c>
      <c r="B57" s="167"/>
      <c r="C57" s="501"/>
      <c r="D57" s="502"/>
      <c r="E57" s="166" t="s">
        <v>195</v>
      </c>
      <c r="F57" s="169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.5">
      <c r="A59" s="72" t="s">
        <v>197</v>
      </c>
      <c r="B59" s="74" t="s">
        <v>198</v>
      </c>
      <c r="C59" s="154">
        <v>11711</v>
      </c>
      <c r="D59" s="153">
        <v>12293</v>
      </c>
      <c r="E59" s="158" t="s">
        <v>199</v>
      </c>
      <c r="F59" s="424" t="s">
        <v>200</v>
      </c>
      <c r="G59" s="154">
        <v>4333</v>
      </c>
      <c r="H59" s="153">
        <v>4111</v>
      </c>
    </row>
    <row r="60" spans="1:28">
      <c r="A60" s="72" t="s">
        <v>201</v>
      </c>
      <c r="B60" s="74" t="s">
        <v>202</v>
      </c>
      <c r="C60" s="154">
        <v>2107</v>
      </c>
      <c r="D60" s="153">
        <v>2412</v>
      </c>
      <c r="E60" s="72" t="s">
        <v>203</v>
      </c>
      <c r="F60" s="75" t="s">
        <v>204</v>
      </c>
      <c r="G60" s="154"/>
      <c r="H60" s="153"/>
      <c r="M60" s="78"/>
    </row>
    <row r="61" spans="1:28">
      <c r="A61" s="72" t="s">
        <v>205</v>
      </c>
      <c r="B61" s="74" t="s">
        <v>206</v>
      </c>
      <c r="C61" s="154"/>
      <c r="D61" s="153"/>
      <c r="E61" s="157" t="s">
        <v>207</v>
      </c>
      <c r="F61" s="75" t="s">
        <v>208</v>
      </c>
      <c r="G61" s="503">
        <f>SUM(G62:G68)</f>
        <v>17198</v>
      </c>
      <c r="H61" s="504">
        <f>SUM(H62:H68)</f>
        <v>14987</v>
      </c>
    </row>
    <row r="62" spans="1:28">
      <c r="A62" s="72" t="s">
        <v>209</v>
      </c>
      <c r="B62" s="74" t="s">
        <v>210</v>
      </c>
      <c r="C62" s="154">
        <v>5896</v>
      </c>
      <c r="D62" s="153">
        <v>4332</v>
      </c>
      <c r="E62" s="157" t="s">
        <v>211</v>
      </c>
      <c r="F62" s="75" t="s">
        <v>212</v>
      </c>
      <c r="G62" s="154">
        <v>86</v>
      </c>
      <c r="H62" s="153">
        <f>5+11</f>
        <v>16</v>
      </c>
      <c r="M62" s="78"/>
    </row>
    <row r="63" spans="1:28">
      <c r="A63" s="72" t="s">
        <v>213</v>
      </c>
      <c r="B63" s="74" t="s">
        <v>214</v>
      </c>
      <c r="C63" s="154"/>
      <c r="D63" s="153"/>
      <c r="E63" s="72" t="s">
        <v>215</v>
      </c>
      <c r="F63" s="75" t="s">
        <v>216</v>
      </c>
      <c r="G63" s="154"/>
      <c r="H63" s="153"/>
    </row>
    <row r="64" spans="1:28">
      <c r="A64" s="72" t="s">
        <v>217</v>
      </c>
      <c r="B64" s="74" t="s">
        <v>218</v>
      </c>
      <c r="C64" s="154"/>
      <c r="D64" s="153"/>
      <c r="E64" s="72" t="s">
        <v>219</v>
      </c>
      <c r="F64" s="75" t="s">
        <v>220</v>
      </c>
      <c r="G64" s="154">
        <v>8124</v>
      </c>
      <c r="H64" s="153">
        <v>6877</v>
      </c>
      <c r="M64" s="78"/>
    </row>
    <row r="65" spans="1:13">
      <c r="A65" s="420" t="s">
        <v>70</v>
      </c>
      <c r="B65" s="77" t="s">
        <v>221</v>
      </c>
      <c r="C65" s="505">
        <f>SUM(C59:C64)</f>
        <v>19714</v>
      </c>
      <c r="D65" s="506">
        <f>SUM(D59:D64)</f>
        <v>19037</v>
      </c>
      <c r="E65" s="72" t="s">
        <v>222</v>
      </c>
      <c r="F65" s="75" t="s">
        <v>223</v>
      </c>
      <c r="G65" s="154">
        <v>4474</v>
      </c>
      <c r="H65" s="153">
        <v>3441</v>
      </c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154">
        <v>2531</v>
      </c>
      <c r="H66" s="153">
        <v>3122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154">
        <v>777</v>
      </c>
      <c r="H67" s="153">
        <v>823</v>
      </c>
    </row>
    <row r="68" spans="1:13">
      <c r="A68" s="72" t="s">
        <v>229</v>
      </c>
      <c r="B68" s="74" t="s">
        <v>230</v>
      </c>
      <c r="C68" s="154">
        <v>100</v>
      </c>
      <c r="D68" s="153">
        <v>115</v>
      </c>
      <c r="E68" s="72" t="s">
        <v>231</v>
      </c>
      <c r="F68" s="75" t="s">
        <v>232</v>
      </c>
      <c r="G68" s="154">
        <v>1206</v>
      </c>
      <c r="H68" s="153">
        <v>708</v>
      </c>
    </row>
    <row r="69" spans="1:13">
      <c r="A69" s="72" t="s">
        <v>233</v>
      </c>
      <c r="B69" s="74" t="s">
        <v>234</v>
      </c>
      <c r="C69" s="154">
        <f>5735+1577</f>
        <v>7312</v>
      </c>
      <c r="D69" s="153">
        <f>4071+1375</f>
        <v>5446</v>
      </c>
      <c r="E69" s="158" t="s">
        <v>97</v>
      </c>
      <c r="F69" s="75" t="s">
        <v>235</v>
      </c>
      <c r="G69" s="154">
        <f>913+(265+29)</f>
        <v>1207</v>
      </c>
      <c r="H69" s="153">
        <f>863+(262+37)</f>
        <v>1162</v>
      </c>
    </row>
    <row r="70" spans="1:13">
      <c r="A70" s="72" t="s">
        <v>236</v>
      </c>
      <c r="B70" s="74" t="s">
        <v>237</v>
      </c>
      <c r="C70" s="154">
        <v>163</v>
      </c>
      <c r="D70" s="153">
        <v>238</v>
      </c>
      <c r="E70" s="72" t="s">
        <v>238</v>
      </c>
      <c r="F70" s="75" t="s">
        <v>239</v>
      </c>
      <c r="G70" s="154">
        <v>8</v>
      </c>
      <c r="H70" s="153">
        <v>10</v>
      </c>
    </row>
    <row r="71" spans="1:13">
      <c r="A71" s="72" t="s">
        <v>240</v>
      </c>
      <c r="B71" s="74" t="s">
        <v>241</v>
      </c>
      <c r="C71" s="154"/>
      <c r="D71" s="153"/>
      <c r="E71" s="412" t="s">
        <v>65</v>
      </c>
      <c r="F71" s="76" t="s">
        <v>242</v>
      </c>
      <c r="G71" s="505">
        <f>G59+G60+G61+G69+G70</f>
        <v>22746</v>
      </c>
      <c r="H71" s="506">
        <f>H59+H60+H61+H69+H70</f>
        <v>20270</v>
      </c>
    </row>
    <row r="72" spans="1:13">
      <c r="A72" s="72" t="s">
        <v>243</v>
      </c>
      <c r="B72" s="74" t="s">
        <v>244</v>
      </c>
      <c r="C72" s="154">
        <v>20</v>
      </c>
      <c r="D72" s="153">
        <v>5</v>
      </c>
      <c r="E72" s="157"/>
      <c r="F72" s="75"/>
      <c r="G72" s="503"/>
      <c r="H72" s="504"/>
    </row>
    <row r="73" spans="1:13">
      <c r="A73" s="72" t="s">
        <v>245</v>
      </c>
      <c r="B73" s="74" t="s">
        <v>246</v>
      </c>
      <c r="C73" s="154">
        <v>1092</v>
      </c>
      <c r="D73" s="153">
        <v>1045</v>
      </c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4">
        <v>7</v>
      </c>
      <c r="D74" s="153">
        <v>4</v>
      </c>
      <c r="E74" s="481"/>
      <c r="F74" s="482"/>
      <c r="G74" s="503"/>
      <c r="H74" s="527"/>
    </row>
    <row r="75" spans="1:13">
      <c r="A75" s="72" t="s">
        <v>251</v>
      </c>
      <c r="B75" s="74" t="s">
        <v>252</v>
      </c>
      <c r="C75" s="154">
        <v>436</v>
      </c>
      <c r="D75" s="153">
        <v>529</v>
      </c>
      <c r="E75" s="423" t="s">
        <v>180</v>
      </c>
      <c r="F75" s="76" t="s">
        <v>253</v>
      </c>
      <c r="G75" s="416">
        <v>580</v>
      </c>
      <c r="H75" s="417">
        <v>630</v>
      </c>
    </row>
    <row r="76" spans="1:13">
      <c r="A76" s="420" t="s">
        <v>95</v>
      </c>
      <c r="B76" s="77" t="s">
        <v>254</v>
      </c>
      <c r="C76" s="505">
        <f>SUM(C68:C75)</f>
        <v>9130</v>
      </c>
      <c r="D76" s="506">
        <f>SUM(D68:D75)</f>
        <v>7382</v>
      </c>
      <c r="E76" s="481"/>
      <c r="F76" s="482"/>
      <c r="G76" s="503"/>
      <c r="H76" s="527"/>
    </row>
    <row r="77" spans="1:13">
      <c r="A77" s="72"/>
      <c r="B77" s="74"/>
      <c r="C77" s="503"/>
      <c r="D77" s="504"/>
      <c r="E77" s="411" t="s">
        <v>255</v>
      </c>
      <c r="F77" s="76" t="s">
        <v>256</v>
      </c>
      <c r="G77" s="416">
        <v>110</v>
      </c>
      <c r="H77" s="417">
        <v>108</v>
      </c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0</v>
      </c>
      <c r="D79" s="504">
        <f>SUM(D80:D82)</f>
        <v>0</v>
      </c>
      <c r="E79" s="162" t="s">
        <v>260</v>
      </c>
      <c r="F79" s="79" t="s">
        <v>261</v>
      </c>
      <c r="G79" s="507">
        <f>G71+G73+G75+G77</f>
        <v>23436</v>
      </c>
      <c r="H79" s="508">
        <f>H71+H73+H75+H77</f>
        <v>21008</v>
      </c>
    </row>
    <row r="80" spans="1:13">
      <c r="A80" s="72" t="s">
        <v>262</v>
      </c>
      <c r="B80" s="74" t="s">
        <v>263</v>
      </c>
      <c r="C80" s="154"/>
      <c r="D80" s="153"/>
      <c r="E80" s="481"/>
      <c r="F80" s="482"/>
      <c r="G80" s="503"/>
      <c r="H80" s="527"/>
    </row>
    <row r="81" spans="1:13">
      <c r="A81" s="72" t="s">
        <v>264</v>
      </c>
      <c r="B81" s="74" t="s">
        <v>265</v>
      </c>
      <c r="C81" s="154"/>
      <c r="D81" s="153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154"/>
      <c r="D82" s="153"/>
      <c r="E82" s="164"/>
      <c r="F82" s="83"/>
      <c r="G82" s="528"/>
      <c r="H82" s="529"/>
    </row>
    <row r="83" spans="1:13">
      <c r="A83" s="72" t="s">
        <v>268</v>
      </c>
      <c r="B83" s="74" t="s">
        <v>269</v>
      </c>
      <c r="C83" s="154"/>
      <c r="D83" s="153"/>
      <c r="E83" s="161"/>
      <c r="F83" s="83"/>
      <c r="G83" s="528"/>
      <c r="H83" s="529"/>
    </row>
    <row r="84" spans="1:13">
      <c r="A84" s="72" t="s">
        <v>152</v>
      </c>
      <c r="B84" s="74" t="s">
        <v>270</v>
      </c>
      <c r="C84" s="154">
        <v>24</v>
      </c>
      <c r="D84" s="153"/>
      <c r="E84" s="164"/>
      <c r="F84" s="83"/>
      <c r="G84" s="528"/>
      <c r="H84" s="529"/>
    </row>
    <row r="85" spans="1:13">
      <c r="A85" s="420" t="s">
        <v>271</v>
      </c>
      <c r="B85" s="77" t="s">
        <v>272</v>
      </c>
      <c r="C85" s="505">
        <f>C84+C83+C79</f>
        <v>24</v>
      </c>
      <c r="D85" s="506">
        <f>D84+D83+D79</f>
        <v>0</v>
      </c>
      <c r="E85" s="161"/>
      <c r="F85" s="83"/>
      <c r="G85" s="528"/>
      <c r="H85" s="529"/>
    </row>
    <row r="86" spans="1:13">
      <c r="A86" s="72"/>
      <c r="B86" s="77"/>
      <c r="C86" s="503"/>
      <c r="D86" s="504"/>
      <c r="E86" s="164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1"/>
      <c r="F87" s="83"/>
      <c r="G87" s="528"/>
      <c r="H87" s="529"/>
    </row>
    <row r="88" spans="1:13">
      <c r="A88" s="72" t="s">
        <v>274</v>
      </c>
      <c r="B88" s="74" t="s">
        <v>275</v>
      </c>
      <c r="C88" s="154">
        <v>233</v>
      </c>
      <c r="D88" s="153">
        <v>300</v>
      </c>
      <c r="E88" s="164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4">
        <v>22493</v>
      </c>
      <c r="D89" s="153">
        <v>30511</v>
      </c>
      <c r="E89" s="161"/>
      <c r="F89" s="83"/>
      <c r="G89" s="528"/>
      <c r="H89" s="529"/>
    </row>
    <row r="90" spans="1:13">
      <c r="A90" s="72" t="s">
        <v>278</v>
      </c>
      <c r="B90" s="74" t="s">
        <v>279</v>
      </c>
      <c r="C90" s="154"/>
      <c r="D90" s="153"/>
      <c r="E90" s="161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4"/>
      <c r="D91" s="153"/>
      <c r="E91" s="161"/>
      <c r="F91" s="83"/>
      <c r="G91" s="528"/>
      <c r="H91" s="529"/>
    </row>
    <row r="92" spans="1:13">
      <c r="A92" s="420" t="s">
        <v>282</v>
      </c>
      <c r="B92" s="77" t="s">
        <v>283</v>
      </c>
      <c r="C92" s="505">
        <f>SUM(C88:C91)</f>
        <v>22726</v>
      </c>
      <c r="D92" s="506">
        <f>SUM(D88:D91)</f>
        <v>30811</v>
      </c>
      <c r="E92" s="161"/>
      <c r="F92" s="83"/>
      <c r="G92" s="528"/>
      <c r="H92" s="529"/>
      <c r="M92" s="78"/>
    </row>
    <row r="93" spans="1:13">
      <c r="A93" s="411" t="s">
        <v>284</v>
      </c>
      <c r="B93" s="77" t="s">
        <v>285</v>
      </c>
      <c r="C93" s="416">
        <v>935</v>
      </c>
      <c r="D93" s="417">
        <v>429</v>
      </c>
      <c r="E93" s="161"/>
      <c r="F93" s="83"/>
      <c r="G93" s="528"/>
      <c r="H93" s="529"/>
    </row>
    <row r="94" spans="1:13" ht="16.5" thickBot="1">
      <c r="A94" s="413" t="s">
        <v>286</v>
      </c>
      <c r="B94" s="165" t="s">
        <v>287</v>
      </c>
      <c r="C94" s="509">
        <f>C65+C76+C85+C92+C93</f>
        <v>52529</v>
      </c>
      <c r="D94" s="510">
        <f>D65+D76+D85+D92+D93</f>
        <v>57659</v>
      </c>
      <c r="E94" s="183"/>
      <c r="F94" s="184"/>
      <c r="G94" s="530"/>
      <c r="H94" s="531"/>
      <c r="M94" s="78"/>
    </row>
    <row r="95" spans="1:13" ht="32.25" thickBot="1">
      <c r="A95" s="425" t="s">
        <v>288</v>
      </c>
      <c r="B95" s="426" t="s">
        <v>289</v>
      </c>
      <c r="C95" s="511">
        <f>C94+C56</f>
        <v>451397</v>
      </c>
      <c r="D95" s="512">
        <f>D94+D56</f>
        <v>465879</v>
      </c>
      <c r="E95" s="185" t="s">
        <v>290</v>
      </c>
      <c r="F95" s="427" t="s">
        <v>291</v>
      </c>
      <c r="G95" s="511">
        <f>G37+G40+G56+G79</f>
        <v>451397</v>
      </c>
      <c r="H95" s="512">
        <f>H37+H40+H56+H79</f>
        <v>465879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4" t="s">
        <v>7</v>
      </c>
      <c r="B98" s="608">
        <f>pdeReportingDate</f>
        <v>45897</v>
      </c>
      <c r="C98" s="608"/>
      <c r="D98" s="608"/>
      <c r="E98" s="608"/>
      <c r="F98" s="608"/>
      <c r="G98" s="608"/>
      <c r="H98" s="608"/>
      <c r="M98" s="78"/>
    </row>
    <row r="99" spans="1:13">
      <c r="A99" s="584"/>
      <c r="B99" s="44"/>
      <c r="C99" s="44"/>
      <c r="D99" s="44"/>
      <c r="E99" s="44"/>
      <c r="F99" s="44"/>
      <c r="G99" s="44"/>
      <c r="H99" s="44"/>
      <c r="M99" s="78"/>
    </row>
    <row r="100" spans="1:13">
      <c r="A100" s="585" t="s">
        <v>292</v>
      </c>
      <c r="B100" s="609" t="str">
        <f>authorName</f>
        <v>Иван Рашков</v>
      </c>
      <c r="C100" s="609"/>
      <c r="D100" s="609"/>
      <c r="E100" s="609"/>
      <c r="F100" s="609"/>
      <c r="G100" s="609"/>
      <c r="H100" s="609"/>
    </row>
    <row r="101" spans="1:13">
      <c r="A101" s="585"/>
      <c r="B101" s="64"/>
      <c r="C101" s="64"/>
      <c r="D101" s="64"/>
      <c r="E101" s="64"/>
      <c r="F101" s="64"/>
      <c r="G101" s="64"/>
      <c r="H101" s="64"/>
    </row>
    <row r="102" spans="1:13">
      <c r="A102" s="585" t="s">
        <v>12</v>
      </c>
      <c r="B102" s="610"/>
      <c r="C102" s="610"/>
      <c r="D102" s="610"/>
      <c r="E102" s="610"/>
      <c r="F102" s="610"/>
      <c r="G102" s="610"/>
      <c r="H102" s="610"/>
    </row>
    <row r="103" spans="1:13" ht="21.75" customHeight="1">
      <c r="A103" s="586"/>
      <c r="B103" s="607" t="s">
        <v>993</v>
      </c>
      <c r="C103" s="607"/>
      <c r="D103" s="607"/>
      <c r="E103" s="607"/>
      <c r="M103" s="78"/>
    </row>
    <row r="104" spans="1:13" ht="21.75" customHeight="1">
      <c r="A104" s="586"/>
      <c r="B104" s="607" t="s">
        <v>994</v>
      </c>
      <c r="C104" s="607"/>
      <c r="D104" s="607"/>
      <c r="E104" s="607"/>
    </row>
    <row r="105" spans="1:13" ht="21.75" customHeight="1">
      <c r="A105" s="586"/>
      <c r="B105" s="607" t="s">
        <v>995</v>
      </c>
      <c r="C105" s="607"/>
      <c r="D105" s="607"/>
      <c r="E105" s="607"/>
      <c r="M105" s="78"/>
    </row>
    <row r="106" spans="1:13" ht="21.75" customHeight="1">
      <c r="A106" s="586"/>
      <c r="B106" s="607" t="s">
        <v>996</v>
      </c>
      <c r="C106" s="607"/>
      <c r="D106" s="607"/>
      <c r="E106" s="607"/>
    </row>
    <row r="107" spans="1:13" ht="21.75" customHeight="1">
      <c r="A107" s="586"/>
      <c r="B107" s="607" t="s">
        <v>997</v>
      </c>
      <c r="C107" s="607"/>
      <c r="D107" s="607"/>
      <c r="E107" s="607"/>
      <c r="M107" s="78"/>
    </row>
    <row r="108" spans="1:13" ht="21.75" customHeight="1">
      <c r="A108" s="586"/>
      <c r="B108" s="607" t="s">
        <v>998</v>
      </c>
      <c r="C108" s="607"/>
      <c r="D108" s="607"/>
      <c r="E108" s="607"/>
    </row>
    <row r="109" spans="1:13" ht="21.75" customHeight="1">
      <c r="A109" s="586"/>
      <c r="B109" s="607"/>
      <c r="C109" s="607"/>
      <c r="D109" s="607"/>
      <c r="E109" s="607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2" zoomScale="85" zoomScaleNormal="85" zoomScaleSheetLayoutView="100" workbookViewId="0">
      <selection activeCell="G33" sqref="G3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ИНДУСТРИАЛЕН ХОЛДИНГ БЪЛГАРИЯ АД</v>
      </c>
      <c r="B4" s="16"/>
      <c r="C4" s="16"/>
      <c r="D4" s="16"/>
      <c r="E4" s="51"/>
      <c r="F4" s="43"/>
      <c r="G4" s="144"/>
      <c r="H4" s="55"/>
    </row>
    <row r="5" spans="1:9">
      <c r="A5" s="60" t="str">
        <f>CONCATENATE("ЕИК по БУЛСТАТ: ", pdeBulstat)</f>
        <v>ЕИК по БУЛСТАТ: 121631219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30.06.2025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6" t="s">
        <v>295</v>
      </c>
      <c r="B8" s="187" t="s">
        <v>27</v>
      </c>
      <c r="C8" s="187" t="s">
        <v>28</v>
      </c>
      <c r="D8" s="188" t="s">
        <v>32</v>
      </c>
      <c r="E8" s="186" t="s">
        <v>296</v>
      </c>
      <c r="F8" s="187" t="s">
        <v>27</v>
      </c>
      <c r="G8" s="187" t="s">
        <v>28</v>
      </c>
      <c r="H8" s="188" t="s">
        <v>32</v>
      </c>
    </row>
    <row r="9" spans="1:9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9">
      <c r="A10" s="205" t="s">
        <v>297</v>
      </c>
      <c r="B10" s="206"/>
      <c r="C10" s="207"/>
      <c r="D10" s="208"/>
      <c r="E10" s="205" t="s">
        <v>298</v>
      </c>
      <c r="F10" s="217"/>
      <c r="G10" s="536"/>
      <c r="H10" s="537"/>
      <c r="I10" s="604"/>
    </row>
    <row r="11" spans="1:9">
      <c r="A11" s="190" t="s">
        <v>299</v>
      </c>
      <c r="B11" s="146"/>
      <c r="C11" s="147"/>
      <c r="D11" s="198"/>
      <c r="E11" s="190" t="s">
        <v>300</v>
      </c>
      <c r="F11" s="148"/>
      <c r="G11" s="147"/>
      <c r="H11" s="198"/>
    </row>
    <row r="12" spans="1:9">
      <c r="A12" s="151" t="s">
        <v>301</v>
      </c>
      <c r="B12" s="149" t="s">
        <v>302</v>
      </c>
      <c r="C12" s="269">
        <v>16457</v>
      </c>
      <c r="D12" s="270">
        <v>17299</v>
      </c>
      <c r="E12" s="151" t="s">
        <v>303</v>
      </c>
      <c r="F12" s="196" t="s">
        <v>304</v>
      </c>
      <c r="G12" s="269">
        <v>15173</v>
      </c>
      <c r="H12" s="270">
        <v>16657</v>
      </c>
    </row>
    <row r="13" spans="1:9">
      <c r="A13" s="151" t="s">
        <v>305</v>
      </c>
      <c r="B13" s="149" t="s">
        <v>306</v>
      </c>
      <c r="C13" s="269">
        <v>12098</v>
      </c>
      <c r="D13" s="270">
        <v>13771</v>
      </c>
      <c r="E13" s="151" t="s">
        <v>307</v>
      </c>
      <c r="F13" s="196" t="s">
        <v>308</v>
      </c>
      <c r="G13" s="269"/>
      <c r="H13" s="270"/>
    </row>
    <row r="14" spans="1:9">
      <c r="A14" s="151" t="s">
        <v>309</v>
      </c>
      <c r="B14" s="149" t="s">
        <v>310</v>
      </c>
      <c r="C14" s="269">
        <v>6954</v>
      </c>
      <c r="D14" s="270">
        <v>6670</v>
      </c>
      <c r="E14" s="151" t="s">
        <v>311</v>
      </c>
      <c r="F14" s="196" t="s">
        <v>312</v>
      </c>
      <c r="G14" s="269">
        <f>36038+3894</f>
        <v>39932</v>
      </c>
      <c r="H14" s="270">
        <f>37822+6866</f>
        <v>44688</v>
      </c>
    </row>
    <row r="15" spans="1:9">
      <c r="A15" s="151" t="s">
        <v>313</v>
      </c>
      <c r="B15" s="149" t="s">
        <v>314</v>
      </c>
      <c r="C15" s="269">
        <v>16142</v>
      </c>
      <c r="D15" s="270">
        <v>15186</v>
      </c>
      <c r="E15" s="151" t="s">
        <v>97</v>
      </c>
      <c r="F15" s="196" t="s">
        <v>315</v>
      </c>
      <c r="G15" s="269">
        <f>909-315</f>
        <v>594</v>
      </c>
      <c r="H15" s="270">
        <f>1599-54</f>
        <v>1545</v>
      </c>
    </row>
    <row r="16" spans="1:9">
      <c r="A16" s="151" t="s">
        <v>316</v>
      </c>
      <c r="B16" s="149" t="s">
        <v>317</v>
      </c>
      <c r="C16" s="269">
        <v>3264</v>
      </c>
      <c r="D16" s="270">
        <v>3124</v>
      </c>
      <c r="E16" s="192" t="s">
        <v>70</v>
      </c>
      <c r="F16" s="218" t="s">
        <v>318</v>
      </c>
      <c r="G16" s="532">
        <f>SUM(G12:G15)</f>
        <v>55699</v>
      </c>
      <c r="H16" s="533">
        <f>SUM(H12:H15)</f>
        <v>62890</v>
      </c>
    </row>
    <row r="17" spans="1:8" ht="31.5">
      <c r="A17" s="151" t="s">
        <v>319</v>
      </c>
      <c r="B17" s="149" t="s">
        <v>320</v>
      </c>
      <c r="C17" s="269"/>
      <c r="D17" s="270"/>
      <c r="E17" s="151"/>
      <c r="F17" s="193"/>
      <c r="G17" s="147"/>
      <c r="H17" s="198"/>
    </row>
    <row r="18" spans="1:8" ht="31.5">
      <c r="A18" s="151" t="s">
        <v>321</v>
      </c>
      <c r="B18" s="149" t="s">
        <v>322</v>
      </c>
      <c r="C18" s="269">
        <v>-2561</v>
      </c>
      <c r="D18" s="270">
        <v>-347</v>
      </c>
      <c r="E18" s="190" t="s">
        <v>323</v>
      </c>
      <c r="F18" s="194" t="s">
        <v>324</v>
      </c>
      <c r="G18" s="541">
        <v>315</v>
      </c>
      <c r="H18" s="542">
        <v>54</v>
      </c>
    </row>
    <row r="19" spans="1:8">
      <c r="A19" s="151" t="s">
        <v>325</v>
      </c>
      <c r="B19" s="149" t="s">
        <v>326</v>
      </c>
      <c r="C19" s="269">
        <v>1265</v>
      </c>
      <c r="D19" s="270">
        <v>1980</v>
      </c>
      <c r="E19" s="151" t="s">
        <v>327</v>
      </c>
      <c r="F19" s="193" t="s">
        <v>328</v>
      </c>
      <c r="G19" s="269"/>
      <c r="H19" s="270"/>
    </row>
    <row r="20" spans="1:8">
      <c r="A20" s="191" t="s">
        <v>329</v>
      </c>
      <c r="B20" s="149" t="s">
        <v>330</v>
      </c>
      <c r="C20" s="269"/>
      <c r="D20" s="270">
        <v>232</v>
      </c>
      <c r="E20" s="190"/>
      <c r="F20" s="148"/>
      <c r="G20" s="147"/>
      <c r="H20" s="198"/>
    </row>
    <row r="21" spans="1:8">
      <c r="A21" s="191" t="s">
        <v>331</v>
      </c>
      <c r="B21" s="149" t="s">
        <v>332</v>
      </c>
      <c r="C21" s="269"/>
      <c r="D21" s="270">
        <v>0</v>
      </c>
      <c r="E21" s="190" t="s">
        <v>333</v>
      </c>
      <c r="F21" s="148"/>
      <c r="G21" s="147"/>
      <c r="H21" s="198"/>
    </row>
    <row r="22" spans="1:8">
      <c r="A22" s="192" t="s">
        <v>70</v>
      </c>
      <c r="B22" s="150" t="s">
        <v>334</v>
      </c>
      <c r="C22" s="532">
        <f>SUM(C12:C18)+C19</f>
        <v>53619</v>
      </c>
      <c r="D22" s="533">
        <f>SUM(D12:D18)+D19</f>
        <v>57683</v>
      </c>
      <c r="E22" s="151" t="s">
        <v>335</v>
      </c>
      <c r="F22" s="193" t="s">
        <v>336</v>
      </c>
      <c r="G22" s="269">
        <f>408+2</f>
        <v>410</v>
      </c>
      <c r="H22" s="270">
        <f>1259+2</f>
        <v>1261</v>
      </c>
    </row>
    <row r="23" spans="1:8">
      <c r="A23" s="190"/>
      <c r="B23" s="149"/>
      <c r="C23" s="147"/>
      <c r="D23" s="198"/>
      <c r="E23" s="191" t="s">
        <v>337</v>
      </c>
      <c r="F23" s="193" t="s">
        <v>338</v>
      </c>
      <c r="G23" s="269"/>
      <c r="H23" s="270"/>
    </row>
    <row r="24" spans="1:8" ht="31.5">
      <c r="A24" s="190" t="s">
        <v>339</v>
      </c>
      <c r="B24" s="193"/>
      <c r="C24" s="147"/>
      <c r="D24" s="198"/>
      <c r="E24" s="151" t="s">
        <v>340</v>
      </c>
      <c r="F24" s="193" t="s">
        <v>341</v>
      </c>
      <c r="G24" s="269"/>
      <c r="H24" s="270"/>
    </row>
    <row r="25" spans="1:8" ht="31.5">
      <c r="A25" s="151" t="s">
        <v>342</v>
      </c>
      <c r="B25" s="193" t="s">
        <v>343</v>
      </c>
      <c r="C25" s="269">
        <f>4+75+1+30+1</f>
        <v>111</v>
      </c>
      <c r="D25" s="270">
        <f>26+6+33</f>
        <v>65</v>
      </c>
      <c r="E25" s="151" t="s">
        <v>344</v>
      </c>
      <c r="F25" s="193" t="s">
        <v>345</v>
      </c>
      <c r="G25" s="269"/>
      <c r="H25" s="270">
        <v>1581</v>
      </c>
    </row>
    <row r="26" spans="1:8" ht="31.5">
      <c r="A26" s="151" t="s">
        <v>346</v>
      </c>
      <c r="B26" s="193" t="s">
        <v>347</v>
      </c>
      <c r="C26" s="269"/>
      <c r="D26" s="270"/>
      <c r="E26" s="151" t="s">
        <v>348</v>
      </c>
      <c r="F26" s="193" t="s">
        <v>349</v>
      </c>
      <c r="G26" s="269"/>
      <c r="H26" s="270"/>
    </row>
    <row r="27" spans="1:8" ht="31.5">
      <c r="A27" s="151" t="s">
        <v>350</v>
      </c>
      <c r="B27" s="193" t="s">
        <v>351</v>
      </c>
      <c r="C27" s="269">
        <v>3228</v>
      </c>
      <c r="D27" s="270"/>
      <c r="E27" s="192" t="s">
        <v>122</v>
      </c>
      <c r="F27" s="194" t="s">
        <v>352</v>
      </c>
      <c r="G27" s="532">
        <f>SUM(G22:G26)</f>
        <v>410</v>
      </c>
      <c r="H27" s="533">
        <f>SUM(H22:H26)</f>
        <v>2842</v>
      </c>
    </row>
    <row r="28" spans="1:8">
      <c r="A28" s="151" t="s">
        <v>97</v>
      </c>
      <c r="B28" s="193" t="s">
        <v>353</v>
      </c>
      <c r="C28" s="269">
        <v>85</v>
      </c>
      <c r="D28" s="270">
        <v>77</v>
      </c>
      <c r="E28" s="191"/>
      <c r="F28" s="148"/>
      <c r="G28" s="147"/>
      <c r="H28" s="198"/>
    </row>
    <row r="29" spans="1:8">
      <c r="A29" s="192" t="s">
        <v>95</v>
      </c>
      <c r="B29" s="194" t="s">
        <v>354</v>
      </c>
      <c r="C29" s="532">
        <f>SUM(C25:C28)</f>
        <v>3424</v>
      </c>
      <c r="D29" s="533">
        <f>SUM(D25:D28)</f>
        <v>142</v>
      </c>
      <c r="E29" s="151"/>
      <c r="F29" s="148"/>
      <c r="G29" s="147"/>
      <c r="H29" s="198"/>
    </row>
    <row r="30" spans="1:8" ht="16.5" thickBot="1">
      <c r="A30" s="209"/>
      <c r="B30" s="210"/>
      <c r="C30" s="221"/>
      <c r="D30" s="222"/>
      <c r="E30" s="211"/>
      <c r="F30" s="219"/>
      <c r="G30" s="213"/>
      <c r="H30" s="214"/>
    </row>
    <row r="31" spans="1:8" ht="31.5">
      <c r="A31" s="205" t="s">
        <v>355</v>
      </c>
      <c r="B31" s="187" t="s">
        <v>356</v>
      </c>
      <c r="C31" s="207">
        <f>C29+C22</f>
        <v>57043</v>
      </c>
      <c r="D31" s="208">
        <f>D29+D22</f>
        <v>57825</v>
      </c>
      <c r="E31" s="205" t="s">
        <v>357</v>
      </c>
      <c r="F31" s="220" t="s">
        <v>358</v>
      </c>
      <c r="G31" s="207">
        <f>G16+G18+G27</f>
        <v>56424</v>
      </c>
      <c r="H31" s="208">
        <f>H16+H18+H27</f>
        <v>65786</v>
      </c>
    </row>
    <row r="32" spans="1:8">
      <c r="A32" s="189"/>
      <c r="B32" s="145"/>
      <c r="C32" s="197"/>
      <c r="D32" s="199"/>
      <c r="E32" s="189"/>
      <c r="F32" s="193"/>
      <c r="G32" s="147"/>
      <c r="H32" s="198"/>
    </row>
    <row r="33" spans="1:8">
      <c r="A33" s="189" t="s">
        <v>359</v>
      </c>
      <c r="B33" s="145" t="s">
        <v>360</v>
      </c>
      <c r="C33" s="197">
        <f>IF((G31-C31)&gt;0,G31-C31,0)</f>
        <v>0</v>
      </c>
      <c r="D33" s="199">
        <f>IF((H31-D31)&gt;0,H31-D31,0)</f>
        <v>7961</v>
      </c>
      <c r="E33" s="189" t="s">
        <v>361</v>
      </c>
      <c r="F33" s="194" t="s">
        <v>362</v>
      </c>
      <c r="G33" s="532">
        <f>IF((C31-G31)&gt;0,C31-G31,0)</f>
        <v>619</v>
      </c>
      <c r="H33" s="533">
        <f>IF((D31-H31)&gt;0,D31-H31,0)</f>
        <v>0</v>
      </c>
    </row>
    <row r="34" spans="1:8" ht="31.5">
      <c r="A34" s="195" t="s">
        <v>363</v>
      </c>
      <c r="B34" s="194" t="s">
        <v>364</v>
      </c>
      <c r="C34" s="269"/>
      <c r="D34" s="270"/>
      <c r="E34" s="190" t="s">
        <v>365</v>
      </c>
      <c r="F34" s="193" t="s">
        <v>366</v>
      </c>
      <c r="G34" s="269"/>
      <c r="H34" s="270"/>
    </row>
    <row r="35" spans="1:8">
      <c r="A35" s="190" t="s">
        <v>367</v>
      </c>
      <c r="B35" s="194" t="s">
        <v>368</v>
      </c>
      <c r="C35" s="269"/>
      <c r="D35" s="270"/>
      <c r="E35" s="190" t="s">
        <v>369</v>
      </c>
      <c r="F35" s="193" t="s">
        <v>370</v>
      </c>
      <c r="G35" s="269"/>
      <c r="H35" s="270"/>
    </row>
    <row r="36" spans="1:8" ht="16.5" thickBot="1">
      <c r="A36" s="212" t="s">
        <v>371</v>
      </c>
      <c r="B36" s="210" t="s">
        <v>372</v>
      </c>
      <c r="C36" s="538">
        <f>C31-C34+C35</f>
        <v>57043</v>
      </c>
      <c r="D36" s="539">
        <f>D31-D34+D35</f>
        <v>57825</v>
      </c>
      <c r="E36" s="216" t="s">
        <v>373</v>
      </c>
      <c r="F36" s="210" t="s">
        <v>374</v>
      </c>
      <c r="G36" s="221">
        <f>G35-G34+G31</f>
        <v>56424</v>
      </c>
      <c r="H36" s="222">
        <f>H35-H34+H31</f>
        <v>65786</v>
      </c>
    </row>
    <row r="37" spans="1:8">
      <c r="A37" s="215" t="s">
        <v>375</v>
      </c>
      <c r="B37" s="187" t="s">
        <v>376</v>
      </c>
      <c r="C37" s="207">
        <f>IF((G36-C36)&gt;0,G36-C36,0)</f>
        <v>0</v>
      </c>
      <c r="D37" s="208">
        <f>IF((H36-D36)&gt;0,H36-D36,0)</f>
        <v>7961</v>
      </c>
      <c r="E37" s="215" t="s">
        <v>377</v>
      </c>
      <c r="F37" s="220" t="s">
        <v>378</v>
      </c>
      <c r="G37" s="207">
        <f>IF((C36-G36)&gt;0,C36-G36,0)</f>
        <v>619</v>
      </c>
      <c r="H37" s="208">
        <f>IF((D36-H36)&gt;0,D36-H36,0)</f>
        <v>0</v>
      </c>
    </row>
    <row r="38" spans="1:8">
      <c r="A38" s="190" t="s">
        <v>379</v>
      </c>
      <c r="B38" s="194" t="s">
        <v>380</v>
      </c>
      <c r="C38" s="532">
        <f>C39+C40+C41</f>
        <v>778</v>
      </c>
      <c r="D38" s="533">
        <f>D39+D40+D41</f>
        <v>962</v>
      </c>
      <c r="E38" s="200"/>
      <c r="F38" s="148"/>
      <c r="G38" s="147"/>
      <c r="H38" s="198"/>
    </row>
    <row r="39" spans="1:8" ht="31.5">
      <c r="A39" s="151" t="s">
        <v>381</v>
      </c>
      <c r="B39" s="193" t="s">
        <v>382</v>
      </c>
      <c r="C39" s="269">
        <v>750</v>
      </c>
      <c r="D39" s="270">
        <v>789</v>
      </c>
      <c r="E39" s="200"/>
      <c r="F39" s="148"/>
      <c r="G39" s="147"/>
      <c r="H39" s="198"/>
    </row>
    <row r="40" spans="1:8" ht="31.5">
      <c r="A40" s="151" t="s">
        <v>383</v>
      </c>
      <c r="B40" s="196" t="s">
        <v>384</v>
      </c>
      <c r="C40" s="269">
        <v>28</v>
      </c>
      <c r="D40" s="270">
        <v>173</v>
      </c>
      <c r="E40" s="200"/>
      <c r="F40" s="193"/>
      <c r="G40" s="147"/>
      <c r="H40" s="198"/>
    </row>
    <row r="41" spans="1:8">
      <c r="A41" s="151" t="s">
        <v>385</v>
      </c>
      <c r="B41" s="196" t="s">
        <v>386</v>
      </c>
      <c r="C41" s="269"/>
      <c r="D41" s="270"/>
      <c r="E41" s="200"/>
      <c r="F41" s="193"/>
      <c r="G41" s="147"/>
      <c r="H41" s="198"/>
    </row>
    <row r="42" spans="1:8">
      <c r="A42" s="189" t="s">
        <v>387</v>
      </c>
      <c r="B42" s="152" t="s">
        <v>388</v>
      </c>
      <c r="C42" s="197">
        <f>+IF((G36-C36-C38)&gt;0,G36-C36-C38,0)</f>
        <v>0</v>
      </c>
      <c r="D42" s="199">
        <f>+IF((H36-D36-D38)&gt;0,H36-D36-D38,0)</f>
        <v>6999</v>
      </c>
      <c r="E42" s="201" t="s">
        <v>389</v>
      </c>
      <c r="F42" s="152" t="s">
        <v>390</v>
      </c>
      <c r="G42" s="197">
        <f>IF(G37&gt;0,IF(C38+G37&lt;0,0,C38+G37),IF(C37-C38&lt;0,C38-C37,0))</f>
        <v>1397</v>
      </c>
      <c r="H42" s="199">
        <f>IF(H37&gt;0,IF(D38+H37&lt;0,0,D38+H37),IF(D37-D38&lt;0,D38-D37,0))</f>
        <v>0</v>
      </c>
    </row>
    <row r="43" spans="1:8">
      <c r="A43" s="189" t="s">
        <v>391</v>
      </c>
      <c r="B43" s="145" t="s">
        <v>392</v>
      </c>
      <c r="C43" s="269">
        <v>64</v>
      </c>
      <c r="D43" s="270">
        <v>63</v>
      </c>
      <c r="E43" s="189" t="s">
        <v>391</v>
      </c>
      <c r="F43" s="152" t="s">
        <v>393</v>
      </c>
      <c r="G43" s="493"/>
      <c r="H43" s="540"/>
    </row>
    <row r="44" spans="1:8" ht="16.5" thickBot="1">
      <c r="A44" s="216" t="s">
        <v>394</v>
      </c>
      <c r="B44" s="203" t="s">
        <v>395</v>
      </c>
      <c r="C44" s="221">
        <f>IF(G42=0,IF(C42-C43&gt;0,C42-C43+G43,0),IF(G42-G43&lt;0,G43-G42+C42,0))</f>
        <v>0</v>
      </c>
      <c r="D44" s="222">
        <f>IF(H42=0,IF(D42-D43&gt;0,D42-D43+H43,0),IF(H42-H43&lt;0,H43-H42+D42,0))</f>
        <v>6936</v>
      </c>
      <c r="E44" s="216" t="s">
        <v>396</v>
      </c>
      <c r="F44" s="223" t="s">
        <v>397</v>
      </c>
      <c r="G44" s="221">
        <f>IF(C42=0,IF(G42-G43&gt;0,G42-G43+C43,0),IF(C42-C43&lt;0,C43-C42+G43,0))</f>
        <v>1461</v>
      </c>
      <c r="H44" s="222">
        <f>IF(D42=0,IF(H42-H43&gt;0,H42-H43+D43,0),IF(D42-D43&lt;0,D43-D42+H43,0))</f>
        <v>0</v>
      </c>
    </row>
    <row r="45" spans="1:8" ht="16.5" thickBot="1">
      <c r="A45" s="224" t="s">
        <v>398</v>
      </c>
      <c r="B45" s="225" t="s">
        <v>399</v>
      </c>
      <c r="C45" s="534">
        <f>C36+C38+C42</f>
        <v>57821</v>
      </c>
      <c r="D45" s="535">
        <f>D36+D38+D42</f>
        <v>65786</v>
      </c>
      <c r="E45" s="224" t="s">
        <v>400</v>
      </c>
      <c r="F45" s="226" t="s">
        <v>401</v>
      </c>
      <c r="G45" s="534">
        <f>G42+G36</f>
        <v>57821</v>
      </c>
      <c r="H45" s="535">
        <f>H42+H36</f>
        <v>65786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1" t="s">
        <v>402</v>
      </c>
      <c r="B47" s="611"/>
      <c r="C47" s="611"/>
      <c r="D47" s="611"/>
      <c r="E47" s="611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4" t="s">
        <v>7</v>
      </c>
      <c r="B50" s="608">
        <f>pdeReportingDate</f>
        <v>45897</v>
      </c>
      <c r="C50" s="608"/>
      <c r="D50" s="608"/>
      <c r="E50" s="608"/>
      <c r="F50" s="608"/>
      <c r="G50" s="608"/>
      <c r="H50" s="608"/>
      <c r="M50" s="78"/>
    </row>
    <row r="51" spans="1:13" s="35" customFormat="1">
      <c r="A51" s="58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5" t="s">
        <v>292</v>
      </c>
      <c r="B52" s="609" t="str">
        <f>authorName</f>
        <v>Иван Рашков</v>
      </c>
      <c r="C52" s="609"/>
      <c r="D52" s="609"/>
      <c r="E52" s="609"/>
      <c r="F52" s="609"/>
      <c r="G52" s="609"/>
      <c r="H52" s="609"/>
    </row>
    <row r="53" spans="1:13" s="35" customFormat="1">
      <c r="A53" s="585"/>
      <c r="B53" s="64"/>
      <c r="C53" s="64"/>
      <c r="D53" s="64"/>
      <c r="E53" s="64"/>
      <c r="F53" s="64"/>
      <c r="G53" s="64"/>
      <c r="H53" s="64"/>
    </row>
    <row r="54" spans="1:13" s="35" customFormat="1">
      <c r="A54" s="585" t="s">
        <v>12</v>
      </c>
      <c r="B54" s="610"/>
      <c r="C54" s="610"/>
      <c r="D54" s="610"/>
      <c r="E54" s="610"/>
      <c r="F54" s="610"/>
      <c r="G54" s="610"/>
      <c r="H54" s="610"/>
    </row>
    <row r="55" spans="1:13" ht="15.75" customHeight="1">
      <c r="A55" s="586"/>
      <c r="B55" s="607" t="s">
        <v>993</v>
      </c>
      <c r="C55" s="607"/>
      <c r="D55" s="607"/>
      <c r="E55" s="607"/>
      <c r="F55" s="485"/>
      <c r="G55" s="38"/>
      <c r="H55" s="35"/>
    </row>
    <row r="56" spans="1:13" ht="15.75" customHeight="1">
      <c r="A56" s="586"/>
      <c r="B56" s="607" t="s">
        <v>293</v>
      </c>
      <c r="C56" s="607"/>
      <c r="D56" s="607"/>
      <c r="E56" s="607"/>
      <c r="F56" s="485"/>
      <c r="G56" s="38"/>
      <c r="H56" s="35"/>
    </row>
    <row r="57" spans="1:13" ht="15.75" customHeight="1">
      <c r="A57" s="586"/>
      <c r="B57" s="607" t="s">
        <v>293</v>
      </c>
      <c r="C57" s="607"/>
      <c r="D57" s="607"/>
      <c r="E57" s="607"/>
      <c r="F57" s="485"/>
      <c r="G57" s="38"/>
      <c r="H57" s="35"/>
    </row>
    <row r="58" spans="1:13" ht="15.75" customHeight="1">
      <c r="A58" s="586"/>
      <c r="B58" s="607" t="s">
        <v>293</v>
      </c>
      <c r="C58" s="607"/>
      <c r="D58" s="607"/>
      <c r="E58" s="607"/>
      <c r="F58" s="485"/>
      <c r="G58" s="38"/>
      <c r="H58" s="35"/>
    </row>
    <row r="59" spans="1:13">
      <c r="A59" s="586"/>
      <c r="B59" s="607"/>
      <c r="C59" s="607"/>
      <c r="D59" s="607"/>
      <c r="E59" s="607"/>
      <c r="F59" s="485"/>
      <c r="G59" s="38"/>
      <c r="H59" s="35"/>
    </row>
    <row r="60" spans="1:13">
      <c r="A60" s="586"/>
      <c r="B60" s="607"/>
      <c r="C60" s="607"/>
      <c r="D60" s="607"/>
      <c r="E60" s="607"/>
      <c r="F60" s="485"/>
      <c r="G60" s="38"/>
      <c r="H60" s="35"/>
    </row>
    <row r="61" spans="1:13">
      <c r="A61" s="586"/>
      <c r="B61" s="607"/>
      <c r="C61" s="607"/>
      <c r="D61" s="607"/>
      <c r="E61" s="607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Normal="100" zoomScaleSheetLayoutView="80" workbookViewId="0">
      <selection activeCell="C28" sqref="C2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ИНДУСТРИАЛЕН ХОЛДИНГ БЪЛГАРИЯ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121631219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30.06.2025 г.</v>
      </c>
      <c r="B6" s="430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605"/>
      <c r="F7" s="136"/>
      <c r="G7" s="136"/>
    </row>
    <row r="8" spans="1:13" ht="33.75" customHeight="1">
      <c r="A8" s="227" t="s">
        <v>404</v>
      </c>
      <c r="B8" s="228" t="s">
        <v>27</v>
      </c>
      <c r="C8" s="229" t="s">
        <v>28</v>
      </c>
      <c r="D8" s="230" t="s">
        <v>32</v>
      </c>
      <c r="E8" s="140"/>
      <c r="F8" s="140"/>
    </row>
    <row r="9" spans="1:13" ht="16.5" thickBot="1">
      <c r="A9" s="235" t="s">
        <v>33</v>
      </c>
      <c r="B9" s="236" t="s">
        <v>34</v>
      </c>
      <c r="C9" s="237">
        <v>1</v>
      </c>
      <c r="D9" s="238">
        <v>2</v>
      </c>
      <c r="E9" s="140"/>
      <c r="F9" s="140"/>
    </row>
    <row r="10" spans="1:13">
      <c r="A10" s="241" t="s">
        <v>405</v>
      </c>
      <c r="B10" s="242"/>
      <c r="C10" s="243"/>
      <c r="D10" s="244"/>
      <c r="E10" s="604"/>
    </row>
    <row r="11" spans="1:13">
      <c r="A11" s="231" t="s">
        <v>406</v>
      </c>
      <c r="B11" s="141" t="s">
        <v>407</v>
      </c>
      <c r="C11" s="154">
        <v>55325</v>
      </c>
      <c r="D11" s="153">
        <v>60955</v>
      </c>
    </row>
    <row r="12" spans="1:13">
      <c r="A12" s="231" t="s">
        <v>408</v>
      </c>
      <c r="B12" s="141" t="s">
        <v>409</v>
      </c>
      <c r="C12" s="154">
        <v>-33617</v>
      </c>
      <c r="D12" s="153">
        <v>-35811</v>
      </c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ht="31.5">
      <c r="A13" s="231" t="s">
        <v>410</v>
      </c>
      <c r="B13" s="141" t="s">
        <v>411</v>
      </c>
      <c r="C13" s="154"/>
      <c r="D13" s="153"/>
      <c r="E13" s="142"/>
      <c r="F13" s="142"/>
      <c r="G13" s="142"/>
      <c r="H13" s="142"/>
      <c r="I13" s="142"/>
      <c r="J13" s="142"/>
      <c r="K13" s="142"/>
      <c r="L13" s="142"/>
      <c r="M13" s="142"/>
    </row>
    <row r="14" spans="1:13">
      <c r="A14" s="231" t="s">
        <v>412</v>
      </c>
      <c r="B14" s="141" t="s">
        <v>413</v>
      </c>
      <c r="C14" s="154">
        <v>-19402</v>
      </c>
      <c r="D14" s="153">
        <v>-18358</v>
      </c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3" ht="14.25" customHeight="1">
      <c r="A15" s="231" t="s">
        <v>414</v>
      </c>
      <c r="B15" s="141" t="s">
        <v>415</v>
      </c>
      <c r="C15" s="154">
        <v>2207</v>
      </c>
      <c r="D15" s="153">
        <v>2175</v>
      </c>
      <c r="E15" s="142"/>
      <c r="F15" s="142"/>
      <c r="G15" s="142"/>
      <c r="H15" s="142"/>
      <c r="I15" s="142"/>
      <c r="J15" s="142"/>
      <c r="K15" s="142"/>
      <c r="L15" s="142"/>
      <c r="M15" s="142"/>
    </row>
    <row r="16" spans="1:13">
      <c r="A16" s="231" t="s">
        <v>416</v>
      </c>
      <c r="B16" s="141" t="s">
        <v>417</v>
      </c>
      <c r="C16" s="154">
        <v>-395</v>
      </c>
      <c r="D16" s="153">
        <v>-86</v>
      </c>
      <c r="E16" s="142"/>
      <c r="F16" s="142"/>
      <c r="G16" s="142"/>
      <c r="H16" s="142"/>
      <c r="I16" s="142"/>
      <c r="J16" s="142"/>
      <c r="K16" s="142"/>
      <c r="L16" s="142"/>
      <c r="M16" s="142"/>
    </row>
    <row r="17" spans="1:13">
      <c r="A17" s="231" t="s">
        <v>418</v>
      </c>
      <c r="B17" s="141" t="s">
        <v>419</v>
      </c>
      <c r="C17" s="154"/>
      <c r="D17" s="153"/>
      <c r="E17" s="142"/>
      <c r="F17" s="142"/>
      <c r="G17" s="142"/>
      <c r="H17" s="142"/>
      <c r="I17" s="142"/>
      <c r="J17" s="142"/>
      <c r="K17" s="142"/>
      <c r="L17" s="142"/>
      <c r="M17" s="142"/>
    </row>
    <row r="18" spans="1:13" ht="31.5">
      <c r="A18" s="231" t="s">
        <v>420</v>
      </c>
      <c r="B18" s="141" t="s">
        <v>421</v>
      </c>
      <c r="C18" s="154"/>
      <c r="D18" s="153"/>
      <c r="E18" s="142"/>
      <c r="F18" s="142"/>
      <c r="G18" s="142"/>
      <c r="H18" s="142"/>
      <c r="I18" s="142"/>
      <c r="J18" s="142"/>
      <c r="K18" s="142"/>
      <c r="L18" s="142"/>
      <c r="M18" s="142"/>
    </row>
    <row r="19" spans="1:13">
      <c r="A19" s="231" t="s">
        <v>422</v>
      </c>
      <c r="B19" s="141" t="s">
        <v>423</v>
      </c>
      <c r="C19" s="154">
        <v>-2893</v>
      </c>
      <c r="D19" s="153">
        <f>1537+23</f>
        <v>1560</v>
      </c>
      <c r="E19" s="142"/>
      <c r="F19" s="142"/>
      <c r="G19" s="142"/>
      <c r="H19" s="142"/>
      <c r="I19" s="142"/>
      <c r="J19" s="142"/>
      <c r="K19" s="142"/>
      <c r="L19" s="142"/>
      <c r="M19" s="142"/>
    </row>
    <row r="20" spans="1:13">
      <c r="A20" s="231" t="s">
        <v>424</v>
      </c>
      <c r="B20" s="141" t="s">
        <v>425</v>
      </c>
      <c r="C20" s="154">
        <f>-233-111</f>
        <v>-344</v>
      </c>
      <c r="D20" s="153">
        <v>202</v>
      </c>
      <c r="E20" s="142"/>
      <c r="F20" s="142"/>
      <c r="G20" s="142"/>
      <c r="H20" s="142"/>
      <c r="I20" s="142"/>
      <c r="J20" s="142"/>
      <c r="K20" s="142"/>
      <c r="L20" s="142"/>
      <c r="M20" s="142"/>
    </row>
    <row r="21" spans="1:13" ht="16.5" thickBot="1">
      <c r="A21" s="245" t="s">
        <v>426</v>
      </c>
      <c r="B21" s="246" t="s">
        <v>427</v>
      </c>
      <c r="C21" s="555">
        <f>SUM(C11:C20)</f>
        <v>881</v>
      </c>
      <c r="D21" s="556">
        <f>SUM(D11:D20)</f>
        <v>10637</v>
      </c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3">
      <c r="A22" s="241" t="s">
        <v>428</v>
      </c>
      <c r="B22" s="247"/>
      <c r="C22" s="243"/>
      <c r="D22" s="244"/>
      <c r="E22" s="142"/>
      <c r="F22" s="142"/>
      <c r="G22" s="142"/>
      <c r="H22" s="142"/>
      <c r="I22" s="142"/>
      <c r="J22" s="142"/>
      <c r="K22" s="142"/>
      <c r="L22" s="142"/>
      <c r="M22" s="142"/>
    </row>
    <row r="23" spans="1:13">
      <c r="A23" s="231" t="s">
        <v>429</v>
      </c>
      <c r="B23" s="141" t="s">
        <v>430</v>
      </c>
      <c r="C23" s="154">
        <v>-6618</v>
      </c>
      <c r="D23" s="153">
        <v>-13903</v>
      </c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3">
      <c r="A24" s="231" t="s">
        <v>431</v>
      </c>
      <c r="B24" s="141" t="s">
        <v>432</v>
      </c>
      <c r="C24" s="154">
        <v>30</v>
      </c>
      <c r="D24" s="153">
        <v>6</v>
      </c>
      <c r="E24" s="142"/>
      <c r="F24" s="142"/>
      <c r="G24" s="142"/>
      <c r="H24" s="142"/>
      <c r="I24" s="142"/>
      <c r="J24" s="142"/>
      <c r="K24" s="142"/>
      <c r="L24" s="142"/>
      <c r="M24" s="142"/>
    </row>
    <row r="25" spans="1:13">
      <c r="A25" s="231" t="s">
        <v>433</v>
      </c>
      <c r="B25" s="141" t="s">
        <v>434</v>
      </c>
      <c r="C25" s="154"/>
      <c r="D25" s="153"/>
      <c r="E25" s="142"/>
      <c r="F25" s="142"/>
      <c r="G25" s="142"/>
      <c r="H25" s="142"/>
      <c r="I25" s="142"/>
      <c r="J25" s="142"/>
      <c r="K25" s="142"/>
      <c r="L25" s="142"/>
      <c r="M25" s="142"/>
    </row>
    <row r="26" spans="1:13" ht="13.5" customHeight="1">
      <c r="A26" s="231" t="s">
        <v>435</v>
      </c>
      <c r="B26" s="141" t="s">
        <v>436</v>
      </c>
      <c r="C26" s="154"/>
      <c r="D26" s="153"/>
      <c r="E26" s="142"/>
      <c r="F26" s="142"/>
      <c r="G26" s="142"/>
      <c r="H26" s="142"/>
      <c r="I26" s="142"/>
      <c r="J26" s="142"/>
      <c r="K26" s="142"/>
      <c r="L26" s="142"/>
      <c r="M26" s="142"/>
    </row>
    <row r="27" spans="1:13">
      <c r="A27" s="231" t="s">
        <v>437</v>
      </c>
      <c r="B27" s="141" t="s">
        <v>438</v>
      </c>
      <c r="C27" s="154">
        <v>415</v>
      </c>
      <c r="D27" s="153">
        <v>1060</v>
      </c>
      <c r="E27" s="142"/>
      <c r="F27" s="142"/>
      <c r="G27" s="142"/>
      <c r="H27" s="142"/>
      <c r="I27" s="142"/>
      <c r="J27" s="142"/>
      <c r="K27" s="142"/>
      <c r="L27" s="142"/>
      <c r="M27" s="142"/>
    </row>
    <row r="28" spans="1:13">
      <c r="A28" s="231" t="s">
        <v>439</v>
      </c>
      <c r="B28" s="141" t="s">
        <v>440</v>
      </c>
      <c r="C28" s="154">
        <v>-4024</v>
      </c>
      <c r="D28" s="153">
        <v>-9267</v>
      </c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13">
      <c r="A29" s="231" t="s">
        <v>441</v>
      </c>
      <c r="B29" s="141" t="s">
        <v>442</v>
      </c>
      <c r="C29" s="154"/>
      <c r="D29" s="153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13">
      <c r="A30" s="231" t="s">
        <v>443</v>
      </c>
      <c r="B30" s="141" t="s">
        <v>444</v>
      </c>
      <c r="C30" s="154"/>
      <c r="D30" s="153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13">
      <c r="A31" s="231" t="s">
        <v>422</v>
      </c>
      <c r="B31" s="141" t="s">
        <v>445</v>
      </c>
      <c r="C31" s="154"/>
      <c r="D31" s="153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13">
      <c r="A32" s="231" t="s">
        <v>446</v>
      </c>
      <c r="B32" s="141" t="s">
        <v>447</v>
      </c>
      <c r="C32" s="154">
        <v>6</v>
      </c>
      <c r="D32" s="153"/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6.5" thickBot="1">
      <c r="A33" s="245" t="s">
        <v>448</v>
      </c>
      <c r="B33" s="246" t="s">
        <v>449</v>
      </c>
      <c r="C33" s="555">
        <f>SUM(C23:C32)</f>
        <v>-10191</v>
      </c>
      <c r="D33" s="556">
        <f>SUM(D23:D32)</f>
        <v>-22104</v>
      </c>
      <c r="E33" s="142"/>
      <c r="F33" s="142"/>
      <c r="G33" s="142"/>
      <c r="H33" s="142"/>
      <c r="I33" s="142"/>
      <c r="J33" s="142"/>
      <c r="K33" s="142"/>
      <c r="L33" s="142"/>
      <c r="M33" s="142"/>
    </row>
    <row r="34" spans="1:13">
      <c r="A34" s="239" t="s">
        <v>450</v>
      </c>
      <c r="B34" s="240"/>
      <c r="C34" s="553"/>
      <c r="D34" s="554"/>
    </row>
    <row r="35" spans="1:13">
      <c r="A35" s="231" t="s">
        <v>451</v>
      </c>
      <c r="B35" s="141" t="s">
        <v>452</v>
      </c>
      <c r="C35" s="154"/>
      <c r="D35" s="153"/>
    </row>
    <row r="36" spans="1:13">
      <c r="A36" s="231" t="s">
        <v>453</v>
      </c>
      <c r="B36" s="141" t="s">
        <v>454</v>
      </c>
      <c r="C36" s="154"/>
      <c r="D36" s="153"/>
    </row>
    <row r="37" spans="1:13">
      <c r="A37" s="231" t="s">
        <v>455</v>
      </c>
      <c r="B37" s="141" t="s">
        <v>456</v>
      </c>
      <c r="C37" s="154">
        <f>223+3500</f>
        <v>3723</v>
      </c>
      <c r="D37" s="153">
        <f>1457+3250</f>
        <v>4707</v>
      </c>
    </row>
    <row r="38" spans="1:13">
      <c r="A38" s="231" t="s">
        <v>457</v>
      </c>
      <c r="B38" s="141" t="s">
        <v>458</v>
      </c>
      <c r="C38" s="154">
        <v>-2053</v>
      </c>
      <c r="D38" s="153">
        <v>-1399</v>
      </c>
    </row>
    <row r="39" spans="1:13">
      <c r="A39" s="231" t="s">
        <v>459</v>
      </c>
      <c r="B39" s="141" t="s">
        <v>460</v>
      </c>
      <c r="C39" s="154">
        <f>-147-31</f>
        <v>-178</v>
      </c>
      <c r="D39" s="153">
        <f>-140-33</f>
        <v>-173</v>
      </c>
    </row>
    <row r="40" spans="1:13" ht="31.5">
      <c r="A40" s="231" t="s">
        <v>461</v>
      </c>
      <c r="B40" s="141" t="s">
        <v>462</v>
      </c>
      <c r="C40" s="154">
        <f>-112-14</f>
        <v>-126</v>
      </c>
      <c r="D40" s="153">
        <f>-136-16</f>
        <v>-152</v>
      </c>
    </row>
    <row r="41" spans="1:13">
      <c r="A41" s="231" t="s">
        <v>463</v>
      </c>
      <c r="B41" s="141" t="s">
        <v>464</v>
      </c>
      <c r="C41" s="154">
        <v>-141</v>
      </c>
      <c r="D41" s="153">
        <v>-156</v>
      </c>
    </row>
    <row r="42" spans="1:13">
      <c r="A42" s="231" t="s">
        <v>465</v>
      </c>
      <c r="B42" s="141" t="s">
        <v>466</v>
      </c>
      <c r="C42" s="154"/>
      <c r="D42" s="153">
        <v>0</v>
      </c>
      <c r="G42" s="142"/>
      <c r="H42" s="142"/>
    </row>
    <row r="43" spans="1:13" ht="16.5" thickBot="1">
      <c r="A43" s="248" t="s">
        <v>467</v>
      </c>
      <c r="B43" s="249" t="s">
        <v>468</v>
      </c>
      <c r="C43" s="557">
        <f>SUM(C35:C42)</f>
        <v>1225</v>
      </c>
      <c r="D43" s="558">
        <f>SUM(D35:D42)</f>
        <v>2827</v>
      </c>
      <c r="G43" s="142"/>
      <c r="H43" s="142"/>
    </row>
    <row r="44" spans="1:13" ht="16.5" thickBot="1">
      <c r="A44" s="252" t="s">
        <v>469</v>
      </c>
      <c r="B44" s="253" t="s">
        <v>470</v>
      </c>
      <c r="C44" s="259">
        <f>C43+C33+C21</f>
        <v>-8085</v>
      </c>
      <c r="D44" s="260">
        <f>D43+D33+D21</f>
        <v>-8640</v>
      </c>
      <c r="G44" s="142"/>
      <c r="H44" s="142"/>
    </row>
    <row r="45" spans="1:13" ht="16.5" thickBot="1">
      <c r="A45" s="254" t="s">
        <v>471</v>
      </c>
      <c r="B45" s="255" t="s">
        <v>472</v>
      </c>
      <c r="C45" s="261">
        <v>30811</v>
      </c>
      <c r="D45" s="262">
        <v>56938</v>
      </c>
      <c r="G45" s="142"/>
      <c r="H45" s="142"/>
    </row>
    <row r="46" spans="1:13" ht="16.5" thickBot="1">
      <c r="A46" s="257" t="s">
        <v>473</v>
      </c>
      <c r="B46" s="258" t="s">
        <v>474</v>
      </c>
      <c r="C46" s="263">
        <f>C45+C44</f>
        <v>22726</v>
      </c>
      <c r="D46" s="264">
        <f>D45+D44</f>
        <v>48298</v>
      </c>
      <c r="G46" s="142"/>
      <c r="H46" s="142"/>
    </row>
    <row r="47" spans="1:13">
      <c r="A47" s="256" t="s">
        <v>475</v>
      </c>
      <c r="B47" s="265" t="s">
        <v>476</v>
      </c>
      <c r="C47" s="250">
        <v>22726</v>
      </c>
      <c r="D47" s="251">
        <v>48298</v>
      </c>
      <c r="G47" s="142"/>
      <c r="H47" s="142"/>
    </row>
    <row r="48" spans="1:13" ht="16.5" thickBot="1">
      <c r="A48" s="232" t="s">
        <v>477</v>
      </c>
      <c r="B48" s="266" t="s">
        <v>478</v>
      </c>
      <c r="C48" s="233"/>
      <c r="D48" s="234"/>
      <c r="G48" s="142"/>
      <c r="H48" s="142"/>
    </row>
    <row r="49" spans="1:13">
      <c r="B49" s="143"/>
      <c r="C49" s="142"/>
      <c r="D49" s="142"/>
      <c r="G49" s="142"/>
      <c r="H49" s="142"/>
    </row>
    <row r="50" spans="1:13">
      <c r="A50" s="582" t="s">
        <v>479</v>
      </c>
      <c r="G50" s="142"/>
      <c r="H50" s="142"/>
    </row>
    <row r="51" spans="1:13">
      <c r="A51" s="612" t="s">
        <v>480</v>
      </c>
      <c r="B51" s="612"/>
      <c r="C51" s="612"/>
      <c r="D51" s="612"/>
      <c r="G51" s="142"/>
      <c r="H51" s="142"/>
    </row>
    <row r="52" spans="1:13">
      <c r="A52" s="583"/>
      <c r="B52" s="583"/>
      <c r="C52" s="583"/>
      <c r="D52" s="583"/>
      <c r="G52" s="142"/>
      <c r="H52" s="142"/>
    </row>
    <row r="53" spans="1:13">
      <c r="A53" s="583"/>
      <c r="B53" s="583"/>
      <c r="C53" s="583"/>
      <c r="D53" s="583"/>
      <c r="G53" s="142"/>
      <c r="H53" s="142"/>
    </row>
    <row r="54" spans="1:13" s="35" customFormat="1">
      <c r="A54" s="584" t="s">
        <v>7</v>
      </c>
      <c r="B54" s="608">
        <f>pdeReportingDate</f>
        <v>45897</v>
      </c>
      <c r="C54" s="608"/>
      <c r="D54" s="608"/>
      <c r="E54" s="608"/>
      <c r="F54" s="587"/>
      <c r="G54" s="587"/>
      <c r="H54" s="587"/>
      <c r="M54" s="78"/>
    </row>
    <row r="55" spans="1:13" s="35" customFormat="1">
      <c r="A55" s="584"/>
      <c r="B55" s="608"/>
      <c r="C55" s="608"/>
      <c r="D55" s="608"/>
      <c r="E55" s="608"/>
      <c r="F55" s="44"/>
      <c r="G55" s="44"/>
      <c r="H55" s="44"/>
      <c r="M55" s="78"/>
    </row>
    <row r="56" spans="1:13" s="35" customFormat="1">
      <c r="A56" s="585" t="s">
        <v>292</v>
      </c>
      <c r="B56" s="609" t="str">
        <f>authorName</f>
        <v>Иван Рашков</v>
      </c>
      <c r="C56" s="609"/>
      <c r="D56" s="609"/>
      <c r="E56" s="609"/>
      <c r="F56" s="64"/>
      <c r="G56" s="64"/>
      <c r="H56" s="64"/>
    </row>
    <row r="57" spans="1:13" s="35" customFormat="1">
      <c r="A57" s="585"/>
      <c r="B57" s="609"/>
      <c r="C57" s="609"/>
      <c r="D57" s="609"/>
      <c r="E57" s="609"/>
      <c r="F57" s="64"/>
      <c r="G57" s="64"/>
      <c r="H57" s="64"/>
    </row>
    <row r="58" spans="1:13" s="35" customFormat="1">
      <c r="A58" s="585" t="s">
        <v>12</v>
      </c>
      <c r="B58" s="609"/>
      <c r="C58" s="609"/>
      <c r="D58" s="609"/>
      <c r="E58" s="609"/>
      <c r="F58" s="64"/>
      <c r="G58" s="64"/>
      <c r="H58" s="64"/>
    </row>
    <row r="59" spans="1:13" s="26" customFormat="1">
      <c r="A59" s="586"/>
      <c r="B59" s="607" t="s">
        <v>993</v>
      </c>
      <c r="C59" s="607"/>
      <c r="D59" s="607"/>
      <c r="E59" s="607"/>
      <c r="F59" s="485"/>
      <c r="G59" s="38"/>
      <c r="H59" s="35"/>
    </row>
    <row r="60" spans="1:13">
      <c r="A60" s="586"/>
      <c r="B60" s="607" t="s">
        <v>293</v>
      </c>
      <c r="C60" s="607"/>
      <c r="D60" s="607"/>
      <c r="E60" s="607"/>
      <c r="F60" s="485"/>
      <c r="G60" s="38"/>
      <c r="H60" s="35"/>
    </row>
    <row r="61" spans="1:13">
      <c r="A61" s="586"/>
      <c r="B61" s="607" t="s">
        <v>293</v>
      </c>
      <c r="C61" s="607"/>
      <c r="D61" s="607"/>
      <c r="E61" s="607"/>
      <c r="F61" s="485"/>
      <c r="G61" s="38"/>
      <c r="H61" s="35"/>
    </row>
    <row r="62" spans="1:13">
      <c r="A62" s="586"/>
      <c r="B62" s="607" t="s">
        <v>293</v>
      </c>
      <c r="C62" s="607"/>
      <c r="D62" s="607"/>
      <c r="E62" s="607"/>
      <c r="F62" s="485"/>
      <c r="G62" s="38"/>
      <c r="H62" s="35"/>
    </row>
    <row r="63" spans="1:13">
      <c r="A63" s="586"/>
      <c r="B63" s="607"/>
      <c r="C63" s="607"/>
      <c r="D63" s="607"/>
      <c r="E63" s="607"/>
      <c r="F63" s="485"/>
      <c r="G63" s="38"/>
      <c r="H63" s="35"/>
    </row>
    <row r="64" spans="1:13">
      <c r="A64" s="586"/>
      <c r="B64" s="607"/>
      <c r="C64" s="607"/>
      <c r="D64" s="607"/>
      <c r="E64" s="607"/>
      <c r="F64" s="485"/>
      <c r="G64" s="38"/>
      <c r="H64" s="35"/>
    </row>
    <row r="65" spans="1:8">
      <c r="A65" s="586"/>
      <c r="B65" s="607"/>
      <c r="C65" s="607"/>
      <c r="D65" s="607"/>
      <c r="E65" s="607"/>
      <c r="F65" s="485"/>
      <c r="G65" s="38"/>
      <c r="H65" s="35"/>
    </row>
    <row r="66" spans="1:8">
      <c r="G66" s="142"/>
      <c r="H66" s="142"/>
    </row>
    <row r="67" spans="1:8">
      <c r="G67" s="142"/>
      <c r="H67" s="142"/>
    </row>
    <row r="68" spans="1:8">
      <c r="G68" s="142"/>
      <c r="H68" s="142"/>
    </row>
    <row r="69" spans="1:8">
      <c r="G69" s="142"/>
      <c r="H69" s="142"/>
    </row>
    <row r="70" spans="1:8">
      <c r="G70" s="142"/>
      <c r="H70" s="142"/>
    </row>
    <row r="71" spans="1:8">
      <c r="G71" s="142"/>
      <c r="H71" s="142"/>
    </row>
    <row r="72" spans="1:8">
      <c r="G72" s="142"/>
      <c r="H72" s="142"/>
    </row>
    <row r="73" spans="1:8">
      <c r="G73" s="142"/>
      <c r="H73" s="142"/>
    </row>
    <row r="74" spans="1:8">
      <c r="G74" s="142"/>
      <c r="H74" s="142"/>
    </row>
    <row r="75" spans="1:8">
      <c r="G75" s="142"/>
      <c r="H75" s="142"/>
    </row>
    <row r="76" spans="1:8">
      <c r="G76" s="142"/>
      <c r="H76" s="142"/>
    </row>
    <row r="77" spans="1:8">
      <c r="G77" s="142"/>
      <c r="H77" s="142"/>
    </row>
    <row r="78" spans="1:8">
      <c r="G78" s="142"/>
      <c r="H78" s="142"/>
    </row>
    <row r="79" spans="1:8">
      <c r="G79" s="142"/>
      <c r="H79" s="142"/>
    </row>
    <row r="80" spans="1:8">
      <c r="G80" s="142"/>
      <c r="H80" s="142"/>
    </row>
    <row r="81" spans="7:8">
      <c r="G81" s="142"/>
      <c r="H81" s="142"/>
    </row>
    <row r="82" spans="7:8">
      <c r="G82" s="142"/>
      <c r="H82" s="142"/>
    </row>
    <row r="83" spans="7:8">
      <c r="G83" s="142"/>
      <c r="H83" s="142"/>
    </row>
    <row r="84" spans="7:8">
      <c r="G84" s="142"/>
      <c r="H84" s="142"/>
    </row>
    <row r="85" spans="7:8">
      <c r="G85" s="142"/>
      <c r="H85" s="142"/>
    </row>
    <row r="86" spans="7:8">
      <c r="G86" s="142"/>
      <c r="H86" s="142"/>
    </row>
    <row r="87" spans="7:8">
      <c r="G87" s="142"/>
      <c r="H87" s="142"/>
    </row>
    <row r="88" spans="7:8">
      <c r="G88" s="142"/>
      <c r="H88" s="142"/>
    </row>
    <row r="89" spans="7:8">
      <c r="G89" s="142"/>
      <c r="H89" s="142"/>
    </row>
    <row r="90" spans="7:8">
      <c r="G90" s="142"/>
      <c r="H90" s="142"/>
    </row>
    <row r="91" spans="7:8">
      <c r="G91" s="142"/>
      <c r="H91" s="142"/>
    </row>
    <row r="92" spans="7:8">
      <c r="G92" s="142"/>
      <c r="H92" s="142"/>
    </row>
    <row r="93" spans="7:8">
      <c r="G93" s="142"/>
      <c r="H93" s="142"/>
    </row>
    <row r="94" spans="7:8">
      <c r="G94" s="142"/>
      <c r="H94" s="142"/>
    </row>
    <row r="95" spans="7:8">
      <c r="G95" s="142"/>
      <c r="H95" s="142"/>
    </row>
    <row r="96" spans="7:8">
      <c r="G96" s="142"/>
      <c r="H96" s="142"/>
    </row>
    <row r="97" spans="7:8">
      <c r="G97" s="142"/>
      <c r="H97" s="142"/>
    </row>
    <row r="98" spans="7:8">
      <c r="G98" s="142"/>
      <c r="H98" s="142"/>
    </row>
    <row r="99" spans="7:8">
      <c r="G99" s="142"/>
      <c r="H99" s="142"/>
    </row>
    <row r="100" spans="7:8">
      <c r="G100" s="142"/>
      <c r="H100" s="142"/>
    </row>
    <row r="101" spans="7:8">
      <c r="G101" s="142"/>
      <c r="H101" s="142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7" zoomScale="85" zoomScaleNormal="85" zoomScaleSheetLayoutView="175" workbookViewId="0">
      <selection activeCell="L34" sqref="L34:M34"/>
    </sheetView>
  </sheetViews>
  <sheetFormatPr defaultColWidth="9.28515625" defaultRowHeight="15.75"/>
  <cols>
    <col min="1" max="1" width="50.7109375" style="475" customWidth="1"/>
    <col min="2" max="2" width="10.7109375" style="476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ИНДУСТРИАЛЕН ХОЛДИНГ БЪЛГАРИЯ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121631219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30.06.2025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1.5">
      <c r="A8" s="617" t="s">
        <v>483</v>
      </c>
      <c r="B8" s="620" t="s">
        <v>484</v>
      </c>
      <c r="C8" s="613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3" t="s">
        <v>488</v>
      </c>
      <c r="L8" s="613" t="s">
        <v>489</v>
      </c>
      <c r="M8" s="445"/>
      <c r="N8" s="446"/>
    </row>
    <row r="9" spans="1:14" s="447" customFormat="1" ht="31.5">
      <c r="A9" s="618"/>
      <c r="B9" s="621"/>
      <c r="C9" s="614"/>
      <c r="D9" s="616" t="s">
        <v>490</v>
      </c>
      <c r="E9" s="616" t="s">
        <v>491</v>
      </c>
      <c r="F9" s="449" t="s">
        <v>492</v>
      </c>
      <c r="G9" s="449"/>
      <c r="H9" s="449"/>
      <c r="I9" s="623" t="s">
        <v>493</v>
      </c>
      <c r="J9" s="623" t="s">
        <v>494</v>
      </c>
      <c r="K9" s="614"/>
      <c r="L9" s="614"/>
      <c r="M9" s="450" t="s">
        <v>495</v>
      </c>
      <c r="N9" s="446"/>
    </row>
    <row r="10" spans="1:14" s="447" customFormat="1" ht="31.5">
      <c r="A10" s="619"/>
      <c r="B10" s="622"/>
      <c r="C10" s="615"/>
      <c r="D10" s="616"/>
      <c r="E10" s="616"/>
      <c r="F10" s="448" t="s">
        <v>496</v>
      </c>
      <c r="G10" s="448" t="s">
        <v>497</v>
      </c>
      <c r="H10" s="448" t="s">
        <v>498</v>
      </c>
      <c r="I10" s="615"/>
      <c r="J10" s="615"/>
      <c r="K10" s="615"/>
      <c r="L10" s="615"/>
      <c r="M10" s="451"/>
      <c r="N10" s="446"/>
    </row>
    <row r="11" spans="1:14" s="447" customFormat="1" ht="16.5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604"/>
    </row>
    <row r="13" spans="1:14">
      <c r="A13" s="460" t="s">
        <v>501</v>
      </c>
      <c r="B13" s="461" t="s">
        <v>502</v>
      </c>
      <c r="C13" s="492">
        <f>'1-Баланс'!H18</f>
        <v>96808</v>
      </c>
      <c r="D13" s="492">
        <f>'1-Баланс'!H20</f>
        <v>31016</v>
      </c>
      <c r="E13" s="492">
        <f>'1-Баланс'!H21</f>
        <v>80303</v>
      </c>
      <c r="F13" s="492">
        <f>'1-Баланс'!H23</f>
        <v>4563</v>
      </c>
      <c r="G13" s="492">
        <f>'1-Баланс'!H24</f>
        <v>0</v>
      </c>
      <c r="H13" s="493"/>
      <c r="I13" s="492">
        <f>'1-Баланс'!H29+'1-Баланс'!H32</f>
        <v>166836</v>
      </c>
      <c r="J13" s="492">
        <f>'1-Баланс'!H30+'1-Баланс'!H33</f>
        <v>0</v>
      </c>
      <c r="K13" s="493">
        <v>28426</v>
      </c>
      <c r="L13" s="492">
        <f>SUM(C13:K13)</f>
        <v>407952</v>
      </c>
      <c r="M13" s="494">
        <f>'1-Баланс'!H40</f>
        <v>1053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/>
      <c r="J15" s="269"/>
      <c r="K15" s="269"/>
      <c r="L15" s="492">
        <f t="shared" si="1"/>
        <v>0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1.5">
      <c r="A17" s="460" t="s">
        <v>509</v>
      </c>
      <c r="B17" s="461" t="s">
        <v>510</v>
      </c>
      <c r="C17" s="492">
        <f>C13+C14</f>
        <v>96808</v>
      </c>
      <c r="D17" s="492">
        <f t="shared" ref="D17:M17" si="2">D13+D14</f>
        <v>31016</v>
      </c>
      <c r="E17" s="492">
        <f t="shared" si="2"/>
        <v>80303</v>
      </c>
      <c r="F17" s="492">
        <f t="shared" si="2"/>
        <v>4563</v>
      </c>
      <c r="G17" s="492">
        <f t="shared" si="2"/>
        <v>0</v>
      </c>
      <c r="H17" s="492">
        <f t="shared" si="2"/>
        <v>0</v>
      </c>
      <c r="I17" s="492">
        <f t="shared" si="2"/>
        <v>166836</v>
      </c>
      <c r="J17" s="492">
        <f t="shared" si="2"/>
        <v>0</v>
      </c>
      <c r="K17" s="492">
        <f t="shared" si="2"/>
        <v>28426</v>
      </c>
      <c r="L17" s="492">
        <f t="shared" si="1"/>
        <v>407952</v>
      </c>
      <c r="M17" s="494">
        <f t="shared" si="2"/>
        <v>1053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0</v>
      </c>
      <c r="J18" s="492">
        <f>+'1-Баланс'!G33</f>
        <v>-1461</v>
      </c>
      <c r="K18" s="493"/>
      <c r="L18" s="492">
        <f t="shared" si="1"/>
        <v>-1461</v>
      </c>
      <c r="M18" s="540">
        <v>64</v>
      </c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-439</v>
      </c>
      <c r="G19" s="135">
        <f t="shared" si="3"/>
        <v>0</v>
      </c>
      <c r="H19" s="135">
        <f t="shared" si="3"/>
        <v>0</v>
      </c>
      <c r="I19" s="135">
        <f t="shared" si="3"/>
        <v>439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8">
        <f>M20+M21</f>
        <v>-222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>
        <v>-222</v>
      </c>
    </row>
    <row r="21" spans="1:14">
      <c r="A21" s="464" t="s">
        <v>517</v>
      </c>
      <c r="B21" s="465" t="s">
        <v>518</v>
      </c>
      <c r="C21" s="269"/>
      <c r="D21" s="269"/>
      <c r="E21" s="269"/>
      <c r="F21" s="269">
        <v>-439</v>
      </c>
      <c r="G21" s="269"/>
      <c r="H21" s="269"/>
      <c r="I21" s="269">
        <v>439</v>
      </c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.5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.5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108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108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>
        <v>108</v>
      </c>
      <c r="F27" s="269"/>
      <c r="G27" s="269"/>
      <c r="H27" s="269"/>
      <c r="I27" s="269"/>
      <c r="J27" s="269"/>
      <c r="K27" s="269"/>
      <c r="L27" s="492">
        <f t="shared" si="1"/>
        <v>108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2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>
        <f>154-17</f>
        <v>137</v>
      </c>
      <c r="F30" s="269">
        <v>99</v>
      </c>
      <c r="G30" s="269"/>
      <c r="H30" s="269"/>
      <c r="I30" s="269">
        <f>247+17</f>
        <v>264</v>
      </c>
      <c r="J30" s="269"/>
      <c r="K30" s="269"/>
      <c r="L30" s="492">
        <f t="shared" si="1"/>
        <v>500</v>
      </c>
      <c r="M30" s="270">
        <v>-500</v>
      </c>
    </row>
    <row r="31" spans="1:14">
      <c r="A31" s="460" t="s">
        <v>535</v>
      </c>
      <c r="B31" s="461" t="s">
        <v>536</v>
      </c>
      <c r="C31" s="492">
        <f>C19+C22+C23+C26+C30+C29+C17+C18</f>
        <v>96808</v>
      </c>
      <c r="D31" s="492">
        <f t="shared" ref="D31:M31" si="6">D19+D22+D23+D26+D30+D29+D17+D18</f>
        <v>31016</v>
      </c>
      <c r="E31" s="492">
        <f t="shared" si="6"/>
        <v>80548</v>
      </c>
      <c r="F31" s="492">
        <f t="shared" si="6"/>
        <v>4223</v>
      </c>
      <c r="G31" s="492">
        <f t="shared" si="6"/>
        <v>0</v>
      </c>
      <c r="H31" s="492">
        <f t="shared" si="6"/>
        <v>0</v>
      </c>
      <c r="I31" s="492">
        <f t="shared" si="6"/>
        <v>167539</v>
      </c>
      <c r="J31" s="492">
        <f t="shared" si="6"/>
        <v>-1461</v>
      </c>
      <c r="K31" s="492">
        <f t="shared" si="6"/>
        <v>28426</v>
      </c>
      <c r="L31" s="492">
        <f t="shared" si="1"/>
        <v>407099</v>
      </c>
      <c r="M31" s="494">
        <f t="shared" si="6"/>
        <v>395</v>
      </c>
      <c r="N31" s="133"/>
    </row>
    <row r="32" spans="1:14" ht="31.5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>
        <v>-16423</v>
      </c>
      <c r="L32" s="492">
        <f t="shared" si="1"/>
        <v>-16423</v>
      </c>
      <c r="M32" s="270"/>
    </row>
    <row r="33" spans="1:13" ht="32.2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2.25" thickBot="1">
      <c r="A34" s="468" t="s">
        <v>541</v>
      </c>
      <c r="B34" s="469" t="s">
        <v>542</v>
      </c>
      <c r="C34" s="495">
        <f t="shared" ref="C34:K34" si="7">C31+C32+C33</f>
        <v>96808</v>
      </c>
      <c r="D34" s="495">
        <f t="shared" si="7"/>
        <v>31016</v>
      </c>
      <c r="E34" s="495">
        <f t="shared" si="7"/>
        <v>80548</v>
      </c>
      <c r="F34" s="495">
        <f t="shared" si="7"/>
        <v>4223</v>
      </c>
      <c r="G34" s="495">
        <f t="shared" si="7"/>
        <v>0</v>
      </c>
      <c r="H34" s="495">
        <f t="shared" si="7"/>
        <v>0</v>
      </c>
      <c r="I34" s="495">
        <f t="shared" si="7"/>
        <v>167539</v>
      </c>
      <c r="J34" s="495">
        <f t="shared" si="7"/>
        <v>-1461</v>
      </c>
      <c r="K34" s="495">
        <f t="shared" si="7"/>
        <v>12003</v>
      </c>
      <c r="L34" s="495">
        <f t="shared" si="1"/>
        <v>390676</v>
      </c>
      <c r="M34" s="496">
        <f>M31+M32+M33</f>
        <v>395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4" t="s">
        <v>7</v>
      </c>
      <c r="B38" s="608">
        <f>pdeReportingDate</f>
        <v>45897</v>
      </c>
      <c r="C38" s="608"/>
      <c r="D38" s="608"/>
      <c r="E38" s="608"/>
      <c r="F38" s="608"/>
      <c r="G38" s="608"/>
      <c r="H38" s="608"/>
    </row>
    <row r="39" spans="1:13">
      <c r="A39" s="584"/>
      <c r="B39" s="44"/>
      <c r="C39" s="44"/>
      <c r="D39" s="44"/>
      <c r="E39" s="44"/>
      <c r="F39" s="44"/>
      <c r="G39" s="44"/>
      <c r="H39" s="44"/>
    </row>
    <row r="40" spans="1:13">
      <c r="A40" s="585" t="s">
        <v>292</v>
      </c>
      <c r="B40" s="609" t="str">
        <f>authorName</f>
        <v>Иван Рашков</v>
      </c>
      <c r="C40" s="609"/>
      <c r="D40" s="609"/>
      <c r="E40" s="609"/>
      <c r="F40" s="609"/>
      <c r="G40" s="609"/>
      <c r="H40" s="609"/>
    </row>
    <row r="41" spans="1:13">
      <c r="A41" s="585"/>
      <c r="B41" s="64"/>
      <c r="C41" s="64"/>
      <c r="D41" s="64"/>
      <c r="E41" s="64"/>
      <c r="F41" s="64"/>
      <c r="G41" s="64"/>
      <c r="H41" s="64"/>
    </row>
    <row r="42" spans="1:13">
      <c r="A42" s="585" t="s">
        <v>12</v>
      </c>
      <c r="B42" s="610"/>
      <c r="C42" s="610"/>
      <c r="D42" s="610"/>
      <c r="E42" s="610"/>
      <c r="F42" s="610"/>
      <c r="G42" s="610"/>
      <c r="H42" s="610"/>
    </row>
    <row r="43" spans="1:13">
      <c r="A43" s="586"/>
      <c r="B43" s="607" t="s">
        <v>993</v>
      </c>
      <c r="C43" s="607"/>
      <c r="D43" s="607"/>
      <c r="E43" s="607"/>
      <c r="F43" s="485"/>
      <c r="G43" s="38"/>
      <c r="H43" s="35"/>
    </row>
    <row r="44" spans="1:13">
      <c r="A44" s="586"/>
      <c r="B44" s="607" t="s">
        <v>293</v>
      </c>
      <c r="C44" s="607"/>
      <c r="D44" s="607"/>
      <c r="E44" s="607"/>
      <c r="F44" s="485"/>
      <c r="G44" s="38"/>
      <c r="H44" s="35"/>
    </row>
    <row r="45" spans="1:13">
      <c r="A45" s="586"/>
      <c r="B45" s="607" t="s">
        <v>293</v>
      </c>
      <c r="C45" s="607"/>
      <c r="D45" s="607"/>
      <c r="E45" s="607"/>
      <c r="F45" s="485"/>
      <c r="G45" s="38"/>
      <c r="H45" s="35"/>
    </row>
    <row r="46" spans="1:13">
      <c r="A46" s="586"/>
      <c r="B46" s="607" t="s">
        <v>293</v>
      </c>
      <c r="C46" s="607"/>
      <c r="D46" s="607"/>
      <c r="E46" s="607"/>
      <c r="F46" s="485"/>
      <c r="G46" s="38"/>
      <c r="H46" s="35"/>
    </row>
    <row r="47" spans="1:13">
      <c r="A47" s="586"/>
      <c r="B47" s="607"/>
      <c r="C47" s="607"/>
      <c r="D47" s="607"/>
      <c r="E47" s="607"/>
      <c r="F47" s="485"/>
      <c r="G47" s="38"/>
      <c r="H47" s="35"/>
    </row>
    <row r="48" spans="1:13">
      <c r="A48" s="586"/>
      <c r="B48" s="607"/>
      <c r="C48" s="607"/>
      <c r="D48" s="607"/>
      <c r="E48" s="607"/>
      <c r="F48" s="485"/>
      <c r="G48" s="38"/>
      <c r="H48" s="35"/>
    </row>
    <row r="49" spans="1:8">
      <c r="A49" s="586"/>
      <c r="B49" s="607"/>
      <c r="C49" s="607"/>
      <c r="D49" s="607"/>
      <c r="E49" s="607"/>
      <c r="F49" s="48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6" zoomScale="85" zoomScaleNormal="85" zoomScaleSheetLayoutView="80" workbookViewId="0">
      <selection activeCell="L35" sqref="L35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ИНДУСТРИАЛЕН ХОЛДИНГ БЪЛГАРИЯ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121631219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30.06.2025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8" t="s">
        <v>483</v>
      </c>
      <c r="B7" s="629"/>
      <c r="C7" s="632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4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4" t="s">
        <v>568</v>
      </c>
      <c r="R7" s="626" t="s">
        <v>569</v>
      </c>
    </row>
    <row r="8" spans="1:19" s="88" customFormat="1" ht="66.75" customHeight="1">
      <c r="A8" s="630"/>
      <c r="B8" s="631"/>
      <c r="C8" s="633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5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5"/>
      <c r="R8" s="627"/>
    </row>
    <row r="9" spans="1:19" s="88" customFormat="1" ht="16.5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604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>
        <v>110055</v>
      </c>
      <c r="E11" s="281">
        <v>278</v>
      </c>
      <c r="F11" s="281"/>
      <c r="G11" s="277">
        <f>D11+E11-F11</f>
        <v>110333</v>
      </c>
      <c r="H11" s="281"/>
      <c r="I11" s="281"/>
      <c r="J11" s="277">
        <f>G11+H11-I11</f>
        <v>110333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110333</v>
      </c>
    </row>
    <row r="12" spans="1:19">
      <c r="A12" s="290" t="s">
        <v>585</v>
      </c>
      <c r="B12" s="274" t="s">
        <v>586</v>
      </c>
      <c r="C12" s="121" t="s">
        <v>587</v>
      </c>
      <c r="D12" s="281">
        <v>38635</v>
      </c>
      <c r="E12" s="281">
        <f>8+10</f>
        <v>18</v>
      </c>
      <c r="F12" s="281"/>
      <c r="G12" s="277">
        <f t="shared" ref="G12:G42" si="2">D12+E12-F12</f>
        <v>38653</v>
      </c>
      <c r="H12" s="281"/>
      <c r="I12" s="281"/>
      <c r="J12" s="277">
        <f t="shared" ref="J12:J42" si="3">G12+H12-I12</f>
        <v>38653</v>
      </c>
      <c r="K12" s="281">
        <f>1070</f>
        <v>1070</v>
      </c>
      <c r="L12" s="281">
        <f>699+141</f>
        <v>840</v>
      </c>
      <c r="M12" s="281"/>
      <c r="N12" s="277">
        <f t="shared" ref="N12:N42" si="4">K12+L12-M12</f>
        <v>1910</v>
      </c>
      <c r="O12" s="281"/>
      <c r="P12" s="281"/>
      <c r="Q12" s="277">
        <f t="shared" si="0"/>
        <v>1910</v>
      </c>
      <c r="R12" s="291">
        <f t="shared" si="1"/>
        <v>36743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50292</v>
      </c>
      <c r="E13" s="281">
        <f>160+785</f>
        <v>945</v>
      </c>
      <c r="F13" s="281">
        <v>55</v>
      </c>
      <c r="G13" s="277">
        <f t="shared" si="2"/>
        <v>51182</v>
      </c>
      <c r="H13" s="281"/>
      <c r="I13" s="281"/>
      <c r="J13" s="277">
        <f t="shared" si="3"/>
        <v>51182</v>
      </c>
      <c r="K13" s="281">
        <v>26882</v>
      </c>
      <c r="L13" s="281">
        <v>983</v>
      </c>
      <c r="M13" s="281">
        <v>51</v>
      </c>
      <c r="N13" s="277">
        <f t="shared" si="4"/>
        <v>27814</v>
      </c>
      <c r="O13" s="281"/>
      <c r="P13" s="281"/>
      <c r="Q13" s="277">
        <f t="shared" si="0"/>
        <v>27814</v>
      </c>
      <c r="R13" s="291">
        <f t="shared" si="1"/>
        <v>23368</v>
      </c>
    </row>
    <row r="14" spans="1:19">
      <c r="A14" s="290" t="s">
        <v>591</v>
      </c>
      <c r="B14" s="274" t="s">
        <v>592</v>
      </c>
      <c r="C14" s="121" t="s">
        <v>593</v>
      </c>
      <c r="D14" s="281">
        <v>45764</v>
      </c>
      <c r="E14" s="281">
        <f>54+496</f>
        <v>550</v>
      </c>
      <c r="F14" s="281">
        <f>50+541+101</f>
        <v>692</v>
      </c>
      <c r="G14" s="277">
        <f t="shared" si="2"/>
        <v>45622</v>
      </c>
      <c r="H14" s="281"/>
      <c r="I14" s="281">
        <v>27</v>
      </c>
      <c r="J14" s="277">
        <f t="shared" si="3"/>
        <v>45595</v>
      </c>
      <c r="K14" s="281">
        <f>12864</f>
        <v>12864</v>
      </c>
      <c r="L14" s="281">
        <f>849+18</f>
        <v>867</v>
      </c>
      <c r="M14" s="281">
        <f>36+101</f>
        <v>137</v>
      </c>
      <c r="N14" s="277">
        <f t="shared" si="4"/>
        <v>13594</v>
      </c>
      <c r="O14" s="281"/>
      <c r="P14" s="281">
        <v>11</v>
      </c>
      <c r="Q14" s="277">
        <f t="shared" si="0"/>
        <v>13583</v>
      </c>
      <c r="R14" s="291">
        <f t="shared" si="1"/>
        <v>32012</v>
      </c>
    </row>
    <row r="15" spans="1:19">
      <c r="A15" s="290" t="s">
        <v>594</v>
      </c>
      <c r="B15" s="274" t="s">
        <v>595</v>
      </c>
      <c r="C15" s="121" t="s">
        <v>596</v>
      </c>
      <c r="D15" s="281">
        <v>126958</v>
      </c>
      <c r="E15" s="281">
        <f>92+103+3157</f>
        <v>3352</v>
      </c>
      <c r="F15" s="281">
        <f>77+766</f>
        <v>843</v>
      </c>
      <c r="G15" s="277">
        <f t="shared" si="2"/>
        <v>129467</v>
      </c>
      <c r="H15" s="281"/>
      <c r="I15" s="281">
        <v>13535</v>
      </c>
      <c r="J15" s="277">
        <f t="shared" si="3"/>
        <v>115932</v>
      </c>
      <c r="K15" s="281">
        <v>15961</v>
      </c>
      <c r="L15" s="281">
        <f>249+3785</f>
        <v>4034</v>
      </c>
      <c r="M15" s="281">
        <f>77+714</f>
        <v>791</v>
      </c>
      <c r="N15" s="277">
        <f t="shared" si="4"/>
        <v>19204</v>
      </c>
      <c r="O15" s="281"/>
      <c r="P15" s="281">
        <v>1468</v>
      </c>
      <c r="Q15" s="277">
        <f t="shared" si="0"/>
        <v>17736</v>
      </c>
      <c r="R15" s="291">
        <f t="shared" si="1"/>
        <v>98196</v>
      </c>
    </row>
    <row r="16" spans="1:19">
      <c r="A16" s="312" t="s">
        <v>597</v>
      </c>
      <c r="B16" s="274" t="s">
        <v>598</v>
      </c>
      <c r="C16" s="121" t="s">
        <v>599</v>
      </c>
      <c r="D16" s="281">
        <v>1833</v>
      </c>
      <c r="E16" s="281">
        <f>6+6</f>
        <v>12</v>
      </c>
      <c r="F16" s="281"/>
      <c r="G16" s="277">
        <f t="shared" si="2"/>
        <v>1845</v>
      </c>
      <c r="H16" s="281"/>
      <c r="I16" s="281"/>
      <c r="J16" s="277">
        <f t="shared" si="3"/>
        <v>1845</v>
      </c>
      <c r="K16" s="281">
        <v>1379</v>
      </c>
      <c r="L16" s="281">
        <v>50</v>
      </c>
      <c r="M16" s="281"/>
      <c r="N16" s="277">
        <f t="shared" si="4"/>
        <v>1429</v>
      </c>
      <c r="O16" s="281"/>
      <c r="P16" s="281"/>
      <c r="Q16" s="277">
        <f t="shared" si="0"/>
        <v>1429</v>
      </c>
      <c r="R16" s="291">
        <f t="shared" si="1"/>
        <v>416</v>
      </c>
    </row>
    <row r="17" spans="1:18" ht="31.5">
      <c r="A17" s="290" t="s">
        <v>600</v>
      </c>
      <c r="B17" s="123" t="s">
        <v>601</v>
      </c>
      <c r="C17" s="122" t="s">
        <v>602</v>
      </c>
      <c r="D17" s="281">
        <v>70021</v>
      </c>
      <c r="E17" s="281">
        <v>9251</v>
      </c>
      <c r="F17" s="281">
        <v>4657</v>
      </c>
      <c r="G17" s="277">
        <f t="shared" si="2"/>
        <v>74615</v>
      </c>
      <c r="H17" s="281"/>
      <c r="I17" s="281">
        <v>4148</v>
      </c>
      <c r="J17" s="277">
        <f t="shared" si="3"/>
        <v>70467</v>
      </c>
      <c r="K17" s="281"/>
      <c r="L17" s="591"/>
      <c r="M17" s="281"/>
      <c r="N17" s="277">
        <f t="shared" si="4"/>
        <v>0</v>
      </c>
      <c r="O17" s="281"/>
      <c r="P17" s="281"/>
      <c r="Q17" s="277">
        <f t="shared" si="0"/>
        <v>0</v>
      </c>
      <c r="R17" s="291">
        <f t="shared" si="1"/>
        <v>70467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2616</v>
      </c>
      <c r="E18" s="281">
        <f>27+100</f>
        <v>127</v>
      </c>
      <c r="F18" s="281"/>
      <c r="G18" s="277">
        <f t="shared" si="2"/>
        <v>2743</v>
      </c>
      <c r="H18" s="281"/>
      <c r="I18" s="281"/>
      <c r="J18" s="277">
        <f t="shared" si="3"/>
        <v>2743</v>
      </c>
      <c r="K18" s="281">
        <v>1826</v>
      </c>
      <c r="L18" s="281">
        <v>75</v>
      </c>
      <c r="M18" s="281"/>
      <c r="N18" s="277">
        <f t="shared" si="4"/>
        <v>1901</v>
      </c>
      <c r="O18" s="281"/>
      <c r="P18" s="281"/>
      <c r="Q18" s="277">
        <f t="shared" si="0"/>
        <v>1901</v>
      </c>
      <c r="R18" s="291">
        <f t="shared" si="1"/>
        <v>842</v>
      </c>
    </row>
    <row r="19" spans="1:18">
      <c r="A19" s="290"/>
      <c r="B19" s="275" t="s">
        <v>546</v>
      </c>
      <c r="C19" s="124" t="s">
        <v>606</v>
      </c>
      <c r="D19" s="282">
        <f>SUM(D11:D18)</f>
        <v>446174</v>
      </c>
      <c r="E19" s="282">
        <f>SUM(E11:E18)</f>
        <v>14533</v>
      </c>
      <c r="F19" s="282">
        <f>SUM(F11:F18)</f>
        <v>6247</v>
      </c>
      <c r="G19" s="277">
        <f t="shared" si="2"/>
        <v>454460</v>
      </c>
      <c r="H19" s="282">
        <f>SUM(H11:H18)</f>
        <v>0</v>
      </c>
      <c r="I19" s="282">
        <f>SUM(I11:I18)</f>
        <v>17710</v>
      </c>
      <c r="J19" s="277">
        <f t="shared" si="3"/>
        <v>436750</v>
      </c>
      <c r="K19" s="282">
        <f>SUM(K11:K18)</f>
        <v>59982</v>
      </c>
      <c r="L19" s="282">
        <f>SUM(L11:L18)</f>
        <v>6849</v>
      </c>
      <c r="M19" s="282">
        <f>SUM(M11:M18)</f>
        <v>979</v>
      </c>
      <c r="N19" s="277">
        <f t="shared" si="4"/>
        <v>65852</v>
      </c>
      <c r="O19" s="282">
        <f>SUM(O11:O18)</f>
        <v>0</v>
      </c>
      <c r="P19" s="282">
        <f>SUM(P11:P18)</f>
        <v>1479</v>
      </c>
      <c r="Q19" s="277">
        <f t="shared" si="0"/>
        <v>64373</v>
      </c>
      <c r="R19" s="291">
        <f t="shared" si="1"/>
        <v>372377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15363</v>
      </c>
      <c r="E20" s="281">
        <f>56+541</f>
        <v>597</v>
      </c>
      <c r="F20" s="281"/>
      <c r="G20" s="277">
        <f t="shared" si="2"/>
        <v>15960</v>
      </c>
      <c r="H20" s="281"/>
      <c r="I20" s="281"/>
      <c r="J20" s="277">
        <f t="shared" si="3"/>
        <v>15960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15960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>
        <v>5704</v>
      </c>
      <c r="E24" s="281"/>
      <c r="F24" s="281"/>
      <c r="G24" s="277">
        <f t="shared" si="2"/>
        <v>5704</v>
      </c>
      <c r="H24" s="281"/>
      <c r="I24" s="281">
        <v>5</v>
      </c>
      <c r="J24" s="277">
        <f t="shared" si="3"/>
        <v>5699</v>
      </c>
      <c r="K24" s="281">
        <v>4059</v>
      </c>
      <c r="L24" s="281">
        <v>35</v>
      </c>
      <c r="M24" s="281"/>
      <c r="N24" s="277">
        <f t="shared" si="4"/>
        <v>4094</v>
      </c>
      <c r="O24" s="281"/>
      <c r="P24" s="281">
        <v>5</v>
      </c>
      <c r="Q24" s="277">
        <f t="shared" si="0"/>
        <v>4089</v>
      </c>
      <c r="R24" s="291">
        <f t="shared" si="1"/>
        <v>1610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1836</v>
      </c>
      <c r="E25" s="281">
        <v>1</v>
      </c>
      <c r="F25" s="281"/>
      <c r="G25" s="277">
        <f t="shared" si="2"/>
        <v>1837</v>
      </c>
      <c r="H25" s="281"/>
      <c r="I25" s="281"/>
      <c r="J25" s="277">
        <f t="shared" si="3"/>
        <v>1837</v>
      </c>
      <c r="K25" s="281">
        <v>1589</v>
      </c>
      <c r="L25" s="281">
        <v>32</v>
      </c>
      <c r="M25" s="281"/>
      <c r="N25" s="277">
        <f t="shared" si="4"/>
        <v>1621</v>
      </c>
      <c r="O25" s="281"/>
      <c r="P25" s="281"/>
      <c r="Q25" s="277">
        <f t="shared" si="0"/>
        <v>1621</v>
      </c>
      <c r="R25" s="291">
        <f t="shared" si="1"/>
        <v>216</v>
      </c>
    </row>
    <row r="26" spans="1:18">
      <c r="A26" s="293" t="s">
        <v>588</v>
      </c>
      <c r="B26" s="123" t="s">
        <v>619</v>
      </c>
      <c r="C26" s="121" t="s">
        <v>620</v>
      </c>
      <c r="D26" s="281">
        <v>23</v>
      </c>
      <c r="E26" s="281"/>
      <c r="F26" s="281"/>
      <c r="G26" s="277">
        <f t="shared" si="2"/>
        <v>23</v>
      </c>
      <c r="H26" s="281"/>
      <c r="I26" s="281"/>
      <c r="J26" s="277">
        <f t="shared" si="3"/>
        <v>23</v>
      </c>
      <c r="K26" s="281">
        <v>23</v>
      </c>
      <c r="L26" s="281"/>
      <c r="M26" s="281"/>
      <c r="N26" s="277">
        <f t="shared" si="4"/>
        <v>23</v>
      </c>
      <c r="O26" s="281"/>
      <c r="P26" s="281"/>
      <c r="Q26" s="277">
        <f t="shared" si="0"/>
        <v>23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1030</v>
      </c>
      <c r="E27" s="281">
        <v>3</v>
      </c>
      <c r="F27" s="281"/>
      <c r="G27" s="277">
        <f t="shared" si="2"/>
        <v>1033</v>
      </c>
      <c r="H27" s="281"/>
      <c r="I27" s="281">
        <v>8</v>
      </c>
      <c r="J27" s="277">
        <f t="shared" si="3"/>
        <v>1025</v>
      </c>
      <c r="K27" s="281">
        <v>726</v>
      </c>
      <c r="L27" s="281">
        <v>38</v>
      </c>
      <c r="M27" s="281"/>
      <c r="N27" s="277">
        <f t="shared" si="4"/>
        <v>764</v>
      </c>
      <c r="O27" s="281"/>
      <c r="P27" s="281">
        <v>7</v>
      </c>
      <c r="Q27" s="277">
        <f t="shared" si="0"/>
        <v>757</v>
      </c>
      <c r="R27" s="291">
        <f t="shared" si="1"/>
        <v>268</v>
      </c>
    </row>
    <row r="28" spans="1:18">
      <c r="A28" s="290"/>
      <c r="B28" s="275" t="s">
        <v>554</v>
      </c>
      <c r="C28" s="126" t="s">
        <v>622</v>
      </c>
      <c r="D28" s="284">
        <f>SUM(D24:D27)</f>
        <v>8593</v>
      </c>
      <c r="E28" s="284">
        <f t="shared" ref="E28:P28" si="5">SUM(E24:E27)</f>
        <v>4</v>
      </c>
      <c r="F28" s="284">
        <f t="shared" si="5"/>
        <v>0</v>
      </c>
      <c r="G28" s="285">
        <f t="shared" si="2"/>
        <v>8597</v>
      </c>
      <c r="H28" s="284">
        <f t="shared" si="5"/>
        <v>0</v>
      </c>
      <c r="I28" s="284">
        <f t="shared" si="5"/>
        <v>13</v>
      </c>
      <c r="J28" s="285">
        <f t="shared" si="3"/>
        <v>8584</v>
      </c>
      <c r="K28" s="284">
        <f t="shared" si="5"/>
        <v>6397</v>
      </c>
      <c r="L28" s="284">
        <f t="shared" si="5"/>
        <v>105</v>
      </c>
      <c r="M28" s="284">
        <f t="shared" si="5"/>
        <v>0</v>
      </c>
      <c r="N28" s="285">
        <f t="shared" si="4"/>
        <v>6502</v>
      </c>
      <c r="O28" s="284">
        <f t="shared" si="5"/>
        <v>0</v>
      </c>
      <c r="P28" s="284">
        <f t="shared" si="5"/>
        <v>12</v>
      </c>
      <c r="Q28" s="285">
        <f t="shared" si="0"/>
        <v>6490</v>
      </c>
      <c r="R28" s="294">
        <f t="shared" si="1"/>
        <v>2094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23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23</v>
      </c>
      <c r="H30" s="287">
        <f t="shared" si="6"/>
        <v>0</v>
      </c>
      <c r="I30" s="287">
        <f t="shared" si="6"/>
        <v>0</v>
      </c>
      <c r="J30" s="287">
        <f t="shared" si="3"/>
        <v>23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23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>
        <v>23</v>
      </c>
      <c r="E33" s="281"/>
      <c r="F33" s="281"/>
      <c r="G33" s="277">
        <f t="shared" si="2"/>
        <v>23</v>
      </c>
      <c r="H33" s="281"/>
      <c r="I33" s="281"/>
      <c r="J33" s="277">
        <f t="shared" si="3"/>
        <v>23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23</v>
      </c>
    </row>
    <row r="34" spans="1:18">
      <c r="A34" s="290"/>
      <c r="B34" s="274" t="s">
        <v>134</v>
      </c>
      <c r="C34" s="121" t="s">
        <v>630</v>
      </c>
      <c r="D34" s="281"/>
      <c r="E34" s="281"/>
      <c r="F34" s="281"/>
      <c r="G34" s="277">
        <f t="shared" si="2"/>
        <v>0</v>
      </c>
      <c r="H34" s="281"/>
      <c r="I34" s="281"/>
      <c r="J34" s="277">
        <f t="shared" si="3"/>
        <v>0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0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>
        <f>4021+3</f>
        <v>4024</v>
      </c>
      <c r="F40" s="281"/>
      <c r="G40" s="277">
        <f t="shared" si="2"/>
        <v>4024</v>
      </c>
      <c r="H40" s="281">
        <f>21+120</f>
        <v>141</v>
      </c>
      <c r="I40" s="281">
        <v>164</v>
      </c>
      <c r="J40" s="277">
        <f t="shared" si="3"/>
        <v>4001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4001</v>
      </c>
    </row>
    <row r="41" spans="1:18">
      <c r="A41" s="290"/>
      <c r="B41" s="275" t="s">
        <v>641</v>
      </c>
      <c r="C41" s="124" t="s">
        <v>642</v>
      </c>
      <c r="D41" s="282">
        <f>D30+D35+D40</f>
        <v>23</v>
      </c>
      <c r="E41" s="282">
        <f t="shared" ref="E41:P41" si="10">E30+E35+E40</f>
        <v>4024</v>
      </c>
      <c r="F41" s="282">
        <f t="shared" si="10"/>
        <v>0</v>
      </c>
      <c r="G41" s="277">
        <f t="shared" si="2"/>
        <v>4047</v>
      </c>
      <c r="H41" s="282">
        <f t="shared" si="10"/>
        <v>141</v>
      </c>
      <c r="I41" s="282">
        <f t="shared" si="10"/>
        <v>164</v>
      </c>
      <c r="J41" s="277">
        <f t="shared" si="3"/>
        <v>4024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4024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4329</v>
      </c>
      <c r="E42" s="281"/>
      <c r="F42" s="281"/>
      <c r="G42" s="277">
        <f t="shared" si="2"/>
        <v>4329</v>
      </c>
      <c r="H42" s="281"/>
      <c r="I42" s="281"/>
      <c r="J42" s="277">
        <f t="shared" si="3"/>
        <v>4329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4329</v>
      </c>
    </row>
    <row r="43" spans="1:18" ht="16.5" thickBot="1">
      <c r="A43" s="297"/>
      <c r="B43" s="298" t="s">
        <v>646</v>
      </c>
      <c r="C43" s="299" t="s">
        <v>647</v>
      </c>
      <c r="D43" s="300">
        <f>D19+D20+D22+D28+D41+D42</f>
        <v>474482</v>
      </c>
      <c r="E43" s="300">
        <f>E19+E20+E22+E28+E41+E42</f>
        <v>19158</v>
      </c>
      <c r="F43" s="300">
        <f t="shared" ref="F43:R43" si="11">F19+F20+F22+F28+F41+F42</f>
        <v>6247</v>
      </c>
      <c r="G43" s="300">
        <f t="shared" si="11"/>
        <v>487393</v>
      </c>
      <c r="H43" s="300">
        <f t="shared" si="11"/>
        <v>141</v>
      </c>
      <c r="I43" s="300">
        <f t="shared" si="11"/>
        <v>17887</v>
      </c>
      <c r="J43" s="300">
        <f t="shared" si="11"/>
        <v>469647</v>
      </c>
      <c r="K43" s="300">
        <f t="shared" si="11"/>
        <v>66379</v>
      </c>
      <c r="L43" s="300">
        <f t="shared" si="11"/>
        <v>6954</v>
      </c>
      <c r="M43" s="300">
        <f t="shared" si="11"/>
        <v>979</v>
      </c>
      <c r="N43" s="300">
        <f t="shared" si="11"/>
        <v>72354</v>
      </c>
      <c r="O43" s="300">
        <f t="shared" si="11"/>
        <v>0</v>
      </c>
      <c r="P43" s="300">
        <f t="shared" si="11"/>
        <v>1491</v>
      </c>
      <c r="Q43" s="300">
        <f t="shared" si="11"/>
        <v>70863</v>
      </c>
      <c r="R43" s="301">
        <f t="shared" si="11"/>
        <v>398784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4" t="s">
        <v>7</v>
      </c>
      <c r="C46" s="608">
        <f>pdeReportingDate</f>
        <v>45897</v>
      </c>
      <c r="D46" s="608"/>
      <c r="E46" s="608"/>
      <c r="F46" s="608"/>
      <c r="G46" s="608"/>
      <c r="H46" s="608"/>
      <c r="I46" s="608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4"/>
      <c r="C47" s="44"/>
      <c r="D47" s="44"/>
      <c r="E47" s="44"/>
      <c r="F47" s="44"/>
      <c r="G47" s="44"/>
      <c r="H47" s="44"/>
      <c r="I47" s="44"/>
    </row>
    <row r="48" spans="1:18">
      <c r="B48" s="585" t="s">
        <v>292</v>
      </c>
      <c r="C48" s="609" t="str">
        <f>authorName</f>
        <v>Иван Рашков</v>
      </c>
      <c r="D48" s="609"/>
      <c r="E48" s="609"/>
      <c r="F48" s="609"/>
      <c r="G48" s="609"/>
      <c r="H48" s="609"/>
      <c r="I48" s="609"/>
    </row>
    <row r="49" spans="2:9">
      <c r="B49" s="585"/>
      <c r="C49" s="64"/>
      <c r="D49" s="64"/>
      <c r="E49" s="64"/>
      <c r="F49" s="64"/>
      <c r="G49" s="64"/>
      <c r="H49" s="64"/>
      <c r="I49" s="64"/>
    </row>
    <row r="50" spans="2:9">
      <c r="B50" s="585" t="s">
        <v>12</v>
      </c>
      <c r="C50" s="610"/>
      <c r="D50" s="610"/>
      <c r="E50" s="610"/>
      <c r="F50" s="610"/>
      <c r="G50" s="610"/>
      <c r="H50" s="610"/>
      <c r="I50" s="610"/>
    </row>
    <row r="51" spans="2:9">
      <c r="B51" s="586"/>
      <c r="C51" s="607" t="s">
        <v>993</v>
      </c>
      <c r="D51" s="607"/>
      <c r="E51" s="607"/>
      <c r="F51" s="607"/>
      <c r="G51" s="485"/>
      <c r="H51" s="38"/>
      <c r="I51" s="35"/>
    </row>
    <row r="52" spans="2:9">
      <c r="B52" s="586"/>
      <c r="C52" s="607" t="s">
        <v>293</v>
      </c>
      <c r="D52" s="607"/>
      <c r="E52" s="607"/>
      <c r="F52" s="607"/>
      <c r="G52" s="485"/>
      <c r="H52" s="38"/>
      <c r="I52" s="35"/>
    </row>
    <row r="53" spans="2:9">
      <c r="B53" s="586"/>
      <c r="C53" s="607" t="s">
        <v>293</v>
      </c>
      <c r="D53" s="607"/>
      <c r="E53" s="607"/>
      <c r="F53" s="607"/>
      <c r="G53" s="485"/>
      <c r="H53" s="38"/>
      <c r="I53" s="35"/>
    </row>
    <row r="54" spans="2:9">
      <c r="B54" s="586"/>
      <c r="C54" s="607" t="s">
        <v>293</v>
      </c>
      <c r="D54" s="607"/>
      <c r="E54" s="607"/>
      <c r="F54" s="607"/>
      <c r="G54" s="485"/>
      <c r="H54" s="38"/>
      <c r="I54" s="35"/>
    </row>
    <row r="55" spans="2:9">
      <c r="B55" s="586"/>
      <c r="C55" s="607"/>
      <c r="D55" s="607"/>
      <c r="E55" s="607"/>
      <c r="F55" s="607"/>
      <c r="G55" s="485"/>
      <c r="H55" s="38"/>
      <c r="I55" s="35"/>
    </row>
    <row r="56" spans="2:9">
      <c r="B56" s="586"/>
      <c r="C56" s="607"/>
      <c r="D56" s="607"/>
      <c r="E56" s="607"/>
      <c r="F56" s="607"/>
      <c r="G56" s="485"/>
      <c r="H56" s="38"/>
      <c r="I56" s="35"/>
    </row>
    <row r="57" spans="2:9">
      <c r="B57" s="586"/>
      <c r="C57" s="607"/>
      <c r="D57" s="607"/>
      <c r="E57" s="607"/>
      <c r="F57" s="607"/>
      <c r="G57" s="48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10" zoomScale="85" zoomScaleNormal="85" zoomScaleSheetLayoutView="80" workbookViewId="0">
      <selection activeCell="L102" sqref="L102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ИНДУСТРИАЛЕН ХОЛДИНГ БЪЛГАРИЯ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121631219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30.06.2025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7" t="s">
        <v>483</v>
      </c>
      <c r="B8" s="639" t="s">
        <v>27</v>
      </c>
      <c r="C8" s="635" t="s">
        <v>651</v>
      </c>
      <c r="D8" s="316" t="s">
        <v>652</v>
      </c>
      <c r="E8" s="317"/>
      <c r="F8" s="100"/>
    </row>
    <row r="9" spans="1:8" s="88" customFormat="1">
      <c r="A9" s="638"/>
      <c r="B9" s="640"/>
      <c r="C9" s="636"/>
      <c r="D9" s="103" t="s">
        <v>653</v>
      </c>
      <c r="E9" s="318" t="s">
        <v>654</v>
      </c>
      <c r="F9" s="100"/>
    </row>
    <row r="10" spans="1:8" s="88" customFormat="1" ht="16.5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.5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604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62</v>
      </c>
      <c r="D13" s="313">
        <f>SUM(D14:D16)</f>
        <v>6</v>
      </c>
      <c r="E13" s="320">
        <f>SUM(E14:E16)</f>
        <v>56</v>
      </c>
      <c r="F13" s="105"/>
    </row>
    <row r="14" spans="1:8">
      <c r="A14" s="321" t="s">
        <v>660</v>
      </c>
      <c r="B14" s="107" t="s">
        <v>661</v>
      </c>
      <c r="C14" s="319">
        <f>51+6</f>
        <v>57</v>
      </c>
      <c r="D14" s="319">
        <v>6</v>
      </c>
      <c r="E14" s="320">
        <f t="shared" ref="E14:E44" si="0">C14-D14</f>
        <v>51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>
        <v>5</v>
      </c>
      <c r="D16" s="319"/>
      <c r="E16" s="320">
        <f t="shared" si="0"/>
        <v>5</v>
      </c>
      <c r="F16" s="105"/>
    </row>
    <row r="17" spans="1:6">
      <c r="A17" s="321" t="s">
        <v>666</v>
      </c>
      <c r="B17" s="107" t="s">
        <v>667</v>
      </c>
      <c r="C17" s="319"/>
      <c r="D17" s="319"/>
      <c r="E17" s="320">
        <f t="shared" si="0"/>
        <v>0</v>
      </c>
      <c r="F17" s="105"/>
    </row>
    <row r="18" spans="1:6">
      <c r="A18" s="321" t="s">
        <v>668</v>
      </c>
      <c r="B18" s="107" t="s">
        <v>669</v>
      </c>
      <c r="C18" s="313">
        <f>+C19+C20</f>
        <v>5</v>
      </c>
      <c r="D18" s="313">
        <f>+D19+D20</f>
        <v>0</v>
      </c>
      <c r="E18" s="320">
        <f t="shared" si="0"/>
        <v>5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>
        <v>5</v>
      </c>
      <c r="D20" s="319"/>
      <c r="E20" s="320">
        <f t="shared" si="0"/>
        <v>5</v>
      </c>
      <c r="F20" s="105"/>
    </row>
    <row r="21" spans="1:6" ht="16.5" thickBot="1">
      <c r="A21" s="334" t="s">
        <v>673</v>
      </c>
      <c r="B21" s="335" t="s">
        <v>674</v>
      </c>
      <c r="C21" s="382">
        <f>C13+C17+C18</f>
        <v>67</v>
      </c>
      <c r="D21" s="382">
        <f>D13+D17+D18</f>
        <v>6</v>
      </c>
      <c r="E21" s="383">
        <f>E13+E17+E18</f>
        <v>61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>
        <v>47</v>
      </c>
      <c r="D23" s="385"/>
      <c r="E23" s="384">
        <f t="shared" si="0"/>
        <v>47</v>
      </c>
      <c r="F23" s="105"/>
    </row>
    <row r="24" spans="1:6" ht="16.5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94</v>
      </c>
      <c r="D26" s="313">
        <f>SUM(D27:D29)</f>
        <v>94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>
        <f>86+8</f>
        <v>94</v>
      </c>
      <c r="D29" s="319">
        <v>94</v>
      </c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f>5735+1577</f>
        <v>7312</v>
      </c>
      <c r="D30" s="319">
        <v>7312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v>163</v>
      </c>
      <c r="D31" s="319">
        <v>163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/>
      <c r="D32" s="319"/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v>20</v>
      </c>
      <c r="D33" s="319">
        <v>20</v>
      </c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1092</v>
      </c>
      <c r="D35" s="313">
        <f>SUM(D36:D39)</f>
        <v>1092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319">
        <v>1</v>
      </c>
      <c r="D36" s="319">
        <v>1</v>
      </c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319">
        <v>1089</v>
      </c>
      <c r="D37" s="319">
        <v>1089</v>
      </c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319"/>
      <c r="D38" s="319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319">
        <v>2</v>
      </c>
      <c r="D39" s="319">
        <v>2</v>
      </c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443</v>
      </c>
      <c r="D40" s="313">
        <f>SUM(D41:D44)</f>
        <v>443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f>7+436</f>
        <v>443</v>
      </c>
      <c r="D44" s="319">
        <f>7+436</f>
        <v>443</v>
      </c>
      <c r="E44" s="320">
        <f t="shared" si="0"/>
        <v>0</v>
      </c>
      <c r="F44" s="105"/>
    </row>
    <row r="45" spans="1:6" ht="16.5" thickBot="1">
      <c r="A45" s="339" t="s">
        <v>717</v>
      </c>
      <c r="B45" s="340" t="s">
        <v>718</v>
      </c>
      <c r="C45" s="380">
        <f>C26+C30+C31+C33+C32+C34+C35+C40</f>
        <v>9124</v>
      </c>
      <c r="D45" s="380">
        <f>D26+D30+D31+D33+D32+D34+D35+D40</f>
        <v>9124</v>
      </c>
      <c r="E45" s="381">
        <f>E26+E30+E31+E33+E32+E34+E35+E40</f>
        <v>0</v>
      </c>
      <c r="F45" s="105"/>
    </row>
    <row r="46" spans="1:6" ht="16.5" thickBot="1">
      <c r="A46" s="341" t="s">
        <v>719</v>
      </c>
      <c r="B46" s="342" t="s">
        <v>720</v>
      </c>
      <c r="C46" s="386">
        <f>C45+C23+C21+C11</f>
        <v>9238</v>
      </c>
      <c r="D46" s="386">
        <f>D45+D23+D21+D11</f>
        <v>9130</v>
      </c>
      <c r="E46" s="387">
        <f>E45+E23+E21+E11</f>
        <v>108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7" t="s">
        <v>483</v>
      </c>
      <c r="B50" s="639" t="s">
        <v>27</v>
      </c>
      <c r="C50" s="641" t="s">
        <v>722</v>
      </c>
      <c r="D50" s="316" t="s">
        <v>723</v>
      </c>
      <c r="E50" s="316"/>
      <c r="F50" s="643" t="s">
        <v>724</v>
      </c>
    </row>
    <row r="51" spans="1:6" s="88" customFormat="1" ht="18" customHeight="1">
      <c r="A51" s="638"/>
      <c r="B51" s="640"/>
      <c r="C51" s="642"/>
      <c r="D51" s="102" t="s">
        <v>653</v>
      </c>
      <c r="E51" s="102" t="s">
        <v>654</v>
      </c>
      <c r="F51" s="644"/>
    </row>
    <row r="52" spans="1:6" s="88" customFormat="1" ht="16.5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10597</v>
      </c>
      <c r="D54" s="108">
        <f>SUM(D55:D57)</f>
        <v>86</v>
      </c>
      <c r="E54" s="106">
        <f>C54-D54</f>
        <v>10511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4">
        <f>10500+86</f>
        <v>10586</v>
      </c>
      <c r="D55" s="154">
        <v>86</v>
      </c>
      <c r="E55" s="106">
        <f>C55-D55</f>
        <v>10500</v>
      </c>
      <c r="F55" s="153"/>
    </row>
    <row r="56" spans="1:6">
      <c r="A56" s="321" t="s">
        <v>730</v>
      </c>
      <c r="B56" s="107" t="s">
        <v>731</v>
      </c>
      <c r="C56" s="154"/>
      <c r="D56" s="154"/>
      <c r="E56" s="106">
        <f t="shared" ref="E56:E97" si="1">C56-D56</f>
        <v>0</v>
      </c>
      <c r="F56" s="153"/>
    </row>
    <row r="57" spans="1:6">
      <c r="A57" s="321" t="s">
        <v>715</v>
      </c>
      <c r="B57" s="107" t="s">
        <v>732</v>
      </c>
      <c r="C57" s="154">
        <v>11</v>
      </c>
      <c r="D57" s="154"/>
      <c r="E57" s="106">
        <f t="shared" si="1"/>
        <v>11</v>
      </c>
      <c r="F57" s="153"/>
    </row>
    <row r="58" spans="1:6" ht="31.5">
      <c r="A58" s="321" t="s">
        <v>733</v>
      </c>
      <c r="B58" s="107" t="s">
        <v>734</v>
      </c>
      <c r="C58" s="108">
        <f>C59+C61</f>
        <v>14775</v>
      </c>
      <c r="D58" s="108">
        <f>D59+D61</f>
        <v>4333</v>
      </c>
      <c r="E58" s="106">
        <f t="shared" si="1"/>
        <v>10442</v>
      </c>
      <c r="F58" s="346">
        <f>F59+F61</f>
        <v>0</v>
      </c>
    </row>
    <row r="59" spans="1:6">
      <c r="A59" s="321" t="s">
        <v>735</v>
      </c>
      <c r="B59" s="107" t="s">
        <v>736</v>
      </c>
      <c r="C59" s="154">
        <f>10442+4333</f>
        <v>14775</v>
      </c>
      <c r="D59" s="154">
        <v>4333</v>
      </c>
      <c r="E59" s="106">
        <f t="shared" si="1"/>
        <v>10442</v>
      </c>
      <c r="F59" s="153"/>
    </row>
    <row r="60" spans="1:6">
      <c r="A60" s="347" t="s">
        <v>737</v>
      </c>
      <c r="B60" s="107" t="s">
        <v>738</v>
      </c>
      <c r="C60" s="154"/>
      <c r="D60" s="154"/>
      <c r="E60" s="106">
        <f t="shared" si="1"/>
        <v>0</v>
      </c>
      <c r="F60" s="153"/>
    </row>
    <row r="61" spans="1:6">
      <c r="A61" s="347" t="s">
        <v>739</v>
      </c>
      <c r="B61" s="107" t="s">
        <v>740</v>
      </c>
      <c r="C61" s="154"/>
      <c r="D61" s="154"/>
      <c r="E61" s="106">
        <f t="shared" si="1"/>
        <v>0</v>
      </c>
      <c r="F61" s="153"/>
    </row>
    <row r="62" spans="1:6">
      <c r="A62" s="347" t="s">
        <v>737</v>
      </c>
      <c r="B62" s="107" t="s">
        <v>741</v>
      </c>
      <c r="C62" s="154"/>
      <c r="D62" s="154"/>
      <c r="E62" s="106">
        <f t="shared" si="1"/>
        <v>0</v>
      </c>
      <c r="F62" s="153"/>
    </row>
    <row r="63" spans="1:6">
      <c r="A63" s="321" t="s">
        <v>158</v>
      </c>
      <c r="B63" s="107" t="s">
        <v>742</v>
      </c>
      <c r="C63" s="154"/>
      <c r="D63" s="154"/>
      <c r="E63" s="106">
        <f t="shared" si="1"/>
        <v>0</v>
      </c>
      <c r="F63" s="153"/>
    </row>
    <row r="64" spans="1:6">
      <c r="A64" s="321" t="s">
        <v>161</v>
      </c>
      <c r="B64" s="107" t="s">
        <v>743</v>
      </c>
      <c r="C64" s="154"/>
      <c r="D64" s="154"/>
      <c r="E64" s="106">
        <f t="shared" si="1"/>
        <v>0</v>
      </c>
      <c r="F64" s="153"/>
    </row>
    <row r="65" spans="1:6">
      <c r="A65" s="321" t="s">
        <v>744</v>
      </c>
      <c r="B65" s="107" t="s">
        <v>745</v>
      </c>
      <c r="C65" s="154"/>
      <c r="D65" s="154"/>
      <c r="E65" s="106">
        <f t="shared" si="1"/>
        <v>0</v>
      </c>
      <c r="F65" s="153"/>
    </row>
    <row r="66" spans="1:6">
      <c r="A66" s="321" t="s">
        <v>746</v>
      </c>
      <c r="B66" s="107" t="s">
        <v>747</v>
      </c>
      <c r="C66" s="154">
        <f>1862+26+265+29+147</f>
        <v>2329</v>
      </c>
      <c r="D66" s="154">
        <f>265+29</f>
        <v>294</v>
      </c>
      <c r="E66" s="106">
        <f t="shared" si="1"/>
        <v>2035</v>
      </c>
      <c r="F66" s="153"/>
    </row>
    <row r="67" spans="1:6">
      <c r="A67" s="321" t="s">
        <v>748</v>
      </c>
      <c r="B67" s="107" t="s">
        <v>749</v>
      </c>
      <c r="C67" s="154"/>
      <c r="D67" s="154"/>
      <c r="E67" s="106">
        <f t="shared" si="1"/>
        <v>0</v>
      </c>
      <c r="F67" s="153"/>
    </row>
    <row r="68" spans="1:6" ht="16.5" thickBot="1">
      <c r="A68" s="334" t="s">
        <v>750</v>
      </c>
      <c r="B68" s="335" t="s">
        <v>751</v>
      </c>
      <c r="C68" s="378">
        <f>C54+C58+C63+C64+C65+C66</f>
        <v>27701</v>
      </c>
      <c r="D68" s="378">
        <f>D54+D58+D63+D64+D65+D66</f>
        <v>4713</v>
      </c>
      <c r="E68" s="376">
        <f t="shared" si="1"/>
        <v>22988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4">
        <v>11639</v>
      </c>
      <c r="D70" s="154"/>
      <c r="E70" s="106">
        <f t="shared" si="1"/>
        <v>11639</v>
      </c>
      <c r="F70" s="153"/>
    </row>
    <row r="71" spans="1:6" ht="16.5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154"/>
      <c r="D74" s="154"/>
      <c r="E74" s="106">
        <f t="shared" si="1"/>
        <v>0</v>
      </c>
      <c r="F74" s="153"/>
    </row>
    <row r="75" spans="1:6">
      <c r="A75" s="321" t="s">
        <v>759</v>
      </c>
      <c r="B75" s="107" t="s">
        <v>760</v>
      </c>
      <c r="C75" s="154"/>
      <c r="D75" s="154"/>
      <c r="E75" s="106">
        <f t="shared" si="1"/>
        <v>0</v>
      </c>
      <c r="F75" s="153"/>
    </row>
    <row r="76" spans="1:6">
      <c r="A76" s="348" t="s">
        <v>761</v>
      </c>
      <c r="B76" s="107" t="s">
        <v>762</v>
      </c>
      <c r="C76" s="154"/>
      <c r="D76" s="154"/>
      <c r="E76" s="106">
        <f t="shared" si="1"/>
        <v>0</v>
      </c>
      <c r="F76" s="153"/>
    </row>
    <row r="77" spans="1:6" ht="31.5">
      <c r="A77" s="321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4"/>
      <c r="D78" s="154"/>
      <c r="E78" s="106">
        <f t="shared" si="1"/>
        <v>0</v>
      </c>
      <c r="F78" s="153"/>
    </row>
    <row r="79" spans="1:6">
      <c r="A79" s="321" t="s">
        <v>766</v>
      </c>
      <c r="B79" s="107" t="s">
        <v>767</v>
      </c>
      <c r="C79" s="154"/>
      <c r="D79" s="154"/>
      <c r="E79" s="106">
        <f t="shared" si="1"/>
        <v>0</v>
      </c>
      <c r="F79" s="153"/>
    </row>
    <row r="80" spans="1:6">
      <c r="A80" s="321" t="s">
        <v>768</v>
      </c>
      <c r="B80" s="107" t="s">
        <v>769</v>
      </c>
      <c r="C80" s="154"/>
      <c r="D80" s="154"/>
      <c r="E80" s="106">
        <f t="shared" si="1"/>
        <v>0</v>
      </c>
      <c r="F80" s="153"/>
    </row>
    <row r="81" spans="1:6">
      <c r="A81" s="321" t="s">
        <v>737</v>
      </c>
      <c r="B81" s="107" t="s">
        <v>770</v>
      </c>
      <c r="C81" s="154"/>
      <c r="D81" s="154"/>
      <c r="E81" s="106">
        <f t="shared" si="1"/>
        <v>0</v>
      </c>
      <c r="F81" s="153"/>
    </row>
    <row r="82" spans="1:6">
      <c r="A82" s="321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4"/>
      <c r="D83" s="154"/>
      <c r="E83" s="106">
        <f t="shared" si="1"/>
        <v>0</v>
      </c>
      <c r="F83" s="153"/>
    </row>
    <row r="84" spans="1:6">
      <c r="A84" s="321" t="s">
        <v>775</v>
      </c>
      <c r="B84" s="107" t="s">
        <v>776</v>
      </c>
      <c r="C84" s="154"/>
      <c r="D84" s="154"/>
      <c r="E84" s="106">
        <f t="shared" si="1"/>
        <v>0</v>
      </c>
      <c r="F84" s="153"/>
    </row>
    <row r="85" spans="1:6" ht="31.5">
      <c r="A85" s="321" t="s">
        <v>777</v>
      </c>
      <c r="B85" s="107" t="s">
        <v>778</v>
      </c>
      <c r="C85" s="154"/>
      <c r="D85" s="154"/>
      <c r="E85" s="106">
        <f t="shared" si="1"/>
        <v>0</v>
      </c>
      <c r="F85" s="153"/>
    </row>
    <row r="86" spans="1:6">
      <c r="A86" s="321" t="s">
        <v>779</v>
      </c>
      <c r="B86" s="107" t="s">
        <v>780</v>
      </c>
      <c r="C86" s="154"/>
      <c r="D86" s="154"/>
      <c r="E86" s="106">
        <f t="shared" si="1"/>
        <v>0</v>
      </c>
      <c r="F86" s="153"/>
    </row>
    <row r="87" spans="1:6">
      <c r="A87" s="321" t="s">
        <v>781</v>
      </c>
      <c r="B87" s="107" t="s">
        <v>782</v>
      </c>
      <c r="C87" s="106">
        <f>SUM(C88:C92)+C96</f>
        <v>17112</v>
      </c>
      <c r="D87" s="106">
        <f>SUM(D88:D92)+D96</f>
        <v>17112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4"/>
      <c r="D88" s="154"/>
      <c r="E88" s="106">
        <f t="shared" si="1"/>
        <v>0</v>
      </c>
      <c r="F88" s="153"/>
    </row>
    <row r="89" spans="1:6">
      <c r="A89" s="321" t="s">
        <v>785</v>
      </c>
      <c r="B89" s="107" t="s">
        <v>786</v>
      </c>
      <c r="C89" s="154">
        <v>8124</v>
      </c>
      <c r="D89" s="154">
        <v>8124</v>
      </c>
      <c r="E89" s="106">
        <f t="shared" si="1"/>
        <v>0</v>
      </c>
      <c r="F89" s="153"/>
    </row>
    <row r="90" spans="1:6">
      <c r="A90" s="321" t="s">
        <v>787</v>
      </c>
      <c r="B90" s="107" t="s">
        <v>788</v>
      </c>
      <c r="C90" s="154">
        <v>4474</v>
      </c>
      <c r="D90" s="154">
        <v>4474</v>
      </c>
      <c r="E90" s="106">
        <f t="shared" si="1"/>
        <v>0</v>
      </c>
      <c r="F90" s="153"/>
    </row>
    <row r="91" spans="1:6">
      <c r="A91" s="321" t="s">
        <v>789</v>
      </c>
      <c r="B91" s="107" t="s">
        <v>790</v>
      </c>
      <c r="C91" s="154">
        <v>2531</v>
      </c>
      <c r="D91" s="154">
        <v>2531</v>
      </c>
      <c r="E91" s="106">
        <f t="shared" si="1"/>
        <v>0</v>
      </c>
      <c r="F91" s="153"/>
    </row>
    <row r="92" spans="1:6">
      <c r="A92" s="321" t="s">
        <v>791</v>
      </c>
      <c r="B92" s="107" t="s">
        <v>792</v>
      </c>
      <c r="C92" s="108">
        <f>SUM(C93:C95)</f>
        <v>1206</v>
      </c>
      <c r="D92" s="108">
        <f>SUM(D93:D95)</f>
        <v>1206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4">
        <v>725</v>
      </c>
      <c r="D93" s="154">
        <v>725</v>
      </c>
      <c r="E93" s="106">
        <f t="shared" si="1"/>
        <v>0</v>
      </c>
      <c r="F93" s="153"/>
    </row>
    <row r="94" spans="1:6">
      <c r="A94" s="321" t="s">
        <v>701</v>
      </c>
      <c r="B94" s="107" t="s">
        <v>795</v>
      </c>
      <c r="C94" s="154">
        <v>107</v>
      </c>
      <c r="D94" s="154">
        <v>107</v>
      </c>
      <c r="E94" s="106">
        <f t="shared" si="1"/>
        <v>0</v>
      </c>
      <c r="F94" s="153"/>
    </row>
    <row r="95" spans="1:6">
      <c r="A95" s="321" t="s">
        <v>705</v>
      </c>
      <c r="B95" s="107" t="s">
        <v>796</v>
      </c>
      <c r="C95" s="154">
        <f>355+15+4</f>
        <v>374</v>
      </c>
      <c r="D95" s="154">
        <f>355+15+4</f>
        <v>374</v>
      </c>
      <c r="E95" s="106">
        <f t="shared" si="1"/>
        <v>0</v>
      </c>
      <c r="F95" s="153"/>
    </row>
    <row r="96" spans="1:6">
      <c r="A96" s="321" t="s">
        <v>797</v>
      </c>
      <c r="B96" s="107" t="s">
        <v>798</v>
      </c>
      <c r="C96" s="154">
        <v>777</v>
      </c>
      <c r="D96" s="154">
        <v>777</v>
      </c>
      <c r="E96" s="106">
        <f t="shared" si="1"/>
        <v>0</v>
      </c>
      <c r="F96" s="153"/>
    </row>
    <row r="97" spans="1:8">
      <c r="A97" s="321" t="s">
        <v>799</v>
      </c>
      <c r="B97" s="107" t="s">
        <v>800</v>
      </c>
      <c r="C97" s="154">
        <v>913</v>
      </c>
      <c r="D97" s="154">
        <v>913</v>
      </c>
      <c r="E97" s="106">
        <f t="shared" si="1"/>
        <v>0</v>
      </c>
      <c r="F97" s="153"/>
    </row>
    <row r="98" spans="1:8" ht="16.5" thickBot="1">
      <c r="A98" s="334" t="s">
        <v>801</v>
      </c>
      <c r="B98" s="335" t="s">
        <v>802</v>
      </c>
      <c r="C98" s="376">
        <f>C87+C82+C77+C73+C97</f>
        <v>18025</v>
      </c>
      <c r="D98" s="376">
        <f>D87+D82+D77+D73+D97</f>
        <v>18025</v>
      </c>
      <c r="E98" s="376">
        <f>E87+E82+E77+E73+E97</f>
        <v>0</v>
      </c>
      <c r="F98" s="377">
        <f>F87+F82+F77+F73+F97</f>
        <v>0</v>
      </c>
    </row>
    <row r="99" spans="1:8" ht="16.5" thickBot="1">
      <c r="A99" s="357" t="s">
        <v>803</v>
      </c>
      <c r="B99" s="358" t="s">
        <v>804</v>
      </c>
      <c r="C99" s="370">
        <f>C98+C70+C68</f>
        <v>57365</v>
      </c>
      <c r="D99" s="370">
        <f>D98+D70+D68</f>
        <v>22738</v>
      </c>
      <c r="E99" s="370">
        <f>E98+E70+E68</f>
        <v>34627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.5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3">
        <v>1310</v>
      </c>
      <c r="D104" s="173"/>
      <c r="E104" s="173">
        <v>98</v>
      </c>
      <c r="F104" s="360">
        <f>C104+D104-E104</f>
        <v>1212</v>
      </c>
    </row>
    <row r="105" spans="1:8">
      <c r="A105" s="321" t="s">
        <v>813</v>
      </c>
      <c r="B105" s="107" t="s">
        <v>814</v>
      </c>
      <c r="C105" s="154">
        <v>10</v>
      </c>
      <c r="D105" s="154"/>
      <c r="E105" s="154">
        <v>2</v>
      </c>
      <c r="F105" s="361">
        <f>C105+D105-E105</f>
        <v>8</v>
      </c>
    </row>
    <row r="106" spans="1:8" ht="16.5" thickBot="1">
      <c r="A106" s="337" t="s">
        <v>815</v>
      </c>
      <c r="B106" s="365" t="s">
        <v>816</v>
      </c>
      <c r="C106" s="233"/>
      <c r="D106" s="233"/>
      <c r="E106" s="233"/>
      <c r="F106" s="366">
        <f>C106+D106-E106</f>
        <v>0</v>
      </c>
    </row>
    <row r="107" spans="1:8" ht="16.5" thickBot="1">
      <c r="A107" s="362" t="s">
        <v>817</v>
      </c>
      <c r="B107" s="367" t="s">
        <v>818</v>
      </c>
      <c r="C107" s="368">
        <f>SUM(C104:C106)</f>
        <v>1320</v>
      </c>
      <c r="D107" s="368">
        <f>SUM(D104:D106)</f>
        <v>0</v>
      </c>
      <c r="E107" s="368">
        <f>SUM(E104:E106)</f>
        <v>100</v>
      </c>
      <c r="F107" s="369">
        <f>SUM(F104:F106)</f>
        <v>1220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4" t="s">
        <v>819</v>
      </c>
      <c r="B109" s="634"/>
      <c r="C109" s="634"/>
      <c r="D109" s="634"/>
      <c r="E109" s="634"/>
      <c r="F109" s="634"/>
    </row>
    <row r="111" spans="1:8">
      <c r="A111" s="584" t="s">
        <v>7</v>
      </c>
      <c r="B111" s="608">
        <f>pdeReportingDate</f>
        <v>45897</v>
      </c>
      <c r="C111" s="608"/>
      <c r="D111" s="608"/>
      <c r="E111" s="608"/>
      <c r="F111" s="608"/>
      <c r="G111" s="44"/>
      <c r="H111" s="44"/>
    </row>
    <row r="112" spans="1:8">
      <c r="A112" s="584"/>
      <c r="B112" s="608"/>
      <c r="C112" s="608"/>
      <c r="D112" s="608"/>
      <c r="E112" s="608"/>
      <c r="F112" s="608"/>
      <c r="G112" s="44"/>
      <c r="H112" s="44"/>
    </row>
    <row r="113" spans="1:8">
      <c r="A113" s="585" t="s">
        <v>292</v>
      </c>
      <c r="B113" s="609" t="str">
        <f>authorName</f>
        <v>Иван Рашков</v>
      </c>
      <c r="C113" s="609"/>
      <c r="D113" s="609"/>
      <c r="E113" s="609"/>
      <c r="F113" s="609"/>
      <c r="G113" s="64"/>
      <c r="H113" s="64"/>
    </row>
    <row r="114" spans="1:8">
      <c r="A114" s="585"/>
      <c r="B114" s="609"/>
      <c r="C114" s="609"/>
      <c r="D114" s="609"/>
      <c r="E114" s="609"/>
      <c r="F114" s="609"/>
      <c r="G114" s="64"/>
      <c r="H114" s="64"/>
    </row>
    <row r="115" spans="1:8">
      <c r="A115" s="585" t="s">
        <v>12</v>
      </c>
      <c r="B115" s="610"/>
      <c r="C115" s="610"/>
      <c r="D115" s="610"/>
      <c r="E115" s="610"/>
      <c r="F115" s="610"/>
      <c r="G115" s="66"/>
      <c r="H115" s="66"/>
    </row>
    <row r="116" spans="1:8" ht="15.75" customHeight="1">
      <c r="A116" s="586"/>
      <c r="B116" s="607" t="s">
        <v>993</v>
      </c>
      <c r="C116" s="607"/>
      <c r="D116" s="607"/>
      <c r="E116" s="607"/>
      <c r="F116" s="607"/>
      <c r="G116" s="586"/>
      <c r="H116" s="586"/>
    </row>
    <row r="117" spans="1:8" ht="15.75" customHeight="1">
      <c r="A117" s="586"/>
      <c r="B117" s="607" t="s">
        <v>293</v>
      </c>
      <c r="C117" s="607"/>
      <c r="D117" s="607"/>
      <c r="E117" s="607"/>
      <c r="F117" s="607"/>
      <c r="G117" s="586"/>
      <c r="H117" s="586"/>
    </row>
    <row r="118" spans="1:8" ht="15.75" customHeight="1">
      <c r="A118" s="586"/>
      <c r="B118" s="607" t="s">
        <v>293</v>
      </c>
      <c r="C118" s="607"/>
      <c r="D118" s="607"/>
      <c r="E118" s="607"/>
      <c r="F118" s="607"/>
      <c r="G118" s="586"/>
      <c r="H118" s="586"/>
    </row>
    <row r="119" spans="1:8" ht="15.75" customHeight="1">
      <c r="A119" s="586"/>
      <c r="B119" s="607" t="s">
        <v>293</v>
      </c>
      <c r="C119" s="607"/>
      <c r="D119" s="607"/>
      <c r="E119" s="607"/>
      <c r="F119" s="607"/>
      <c r="G119" s="586"/>
      <c r="H119" s="586"/>
    </row>
    <row r="120" spans="1:8">
      <c r="A120" s="586"/>
      <c r="B120" s="607"/>
      <c r="C120" s="607"/>
      <c r="D120" s="607"/>
      <c r="E120" s="607"/>
      <c r="F120" s="607"/>
      <c r="G120" s="586"/>
      <c r="H120" s="586"/>
    </row>
    <row r="121" spans="1:8">
      <c r="A121" s="586"/>
      <c r="B121" s="607"/>
      <c r="C121" s="607"/>
      <c r="D121" s="607"/>
      <c r="E121" s="607"/>
      <c r="F121" s="607"/>
      <c r="G121" s="586"/>
      <c r="H121" s="586"/>
    </row>
    <row r="122" spans="1:8">
      <c r="A122" s="586"/>
      <c r="B122" s="607"/>
      <c r="C122" s="607"/>
      <c r="D122" s="607"/>
      <c r="E122" s="607"/>
      <c r="F122" s="607"/>
      <c r="G122" s="586"/>
      <c r="H122" s="58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C27" sqref="C27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ИНДУСТРИАЛЕН ХОЛДИНГ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121631219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7" t="s">
        <v>483</v>
      </c>
      <c r="B8" s="652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48"/>
      <c r="B9" s="653"/>
      <c r="C9" s="650" t="s">
        <v>823</v>
      </c>
      <c r="D9" s="650" t="s">
        <v>824</v>
      </c>
      <c r="E9" s="650" t="s">
        <v>825</v>
      </c>
      <c r="F9" s="650" t="s">
        <v>826</v>
      </c>
      <c r="G9" s="89" t="s">
        <v>827</v>
      </c>
      <c r="H9" s="89"/>
      <c r="I9" s="651" t="s">
        <v>828</v>
      </c>
    </row>
    <row r="10" spans="1:22" s="88" customFormat="1" ht="24" customHeight="1">
      <c r="A10" s="648"/>
      <c r="B10" s="653"/>
      <c r="C10" s="650"/>
      <c r="D10" s="650"/>
      <c r="E10" s="650"/>
      <c r="F10" s="650"/>
      <c r="G10" s="91" t="s">
        <v>829</v>
      </c>
      <c r="H10" s="91" t="s">
        <v>830</v>
      </c>
      <c r="I10" s="651"/>
    </row>
    <row r="11" spans="1:22" ht="16.5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604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>
        <v>25000</v>
      </c>
      <c r="D17" s="391"/>
      <c r="E17" s="391"/>
      <c r="F17" s="391">
        <v>4021</v>
      </c>
      <c r="G17" s="391">
        <v>120</v>
      </c>
      <c r="H17" s="391">
        <v>164</v>
      </c>
      <c r="I17" s="392">
        <f t="shared" si="0"/>
        <v>3977</v>
      </c>
    </row>
    <row r="18" spans="1:16" ht="16.5" thickBot="1">
      <c r="A18" s="396" t="s">
        <v>546</v>
      </c>
      <c r="B18" s="397" t="s">
        <v>840</v>
      </c>
      <c r="C18" s="398">
        <f t="shared" ref="C18:H18" si="1">C13+C14+C16+C17</f>
        <v>25000</v>
      </c>
      <c r="D18" s="398">
        <f t="shared" si="1"/>
        <v>0</v>
      </c>
      <c r="E18" s="398">
        <f t="shared" si="1"/>
        <v>0</v>
      </c>
      <c r="F18" s="398">
        <f t="shared" si="1"/>
        <v>4021</v>
      </c>
      <c r="G18" s="398">
        <f t="shared" si="1"/>
        <v>120</v>
      </c>
      <c r="H18" s="398">
        <f t="shared" si="1"/>
        <v>164</v>
      </c>
      <c r="I18" s="399">
        <f t="shared" si="0"/>
        <v>3977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/>
      <c r="D20" s="391"/>
      <c r="E20" s="391"/>
      <c r="F20" s="391"/>
      <c r="G20" s="391"/>
      <c r="H20" s="391"/>
      <c r="I20" s="392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/>
      <c r="D22" s="391"/>
      <c r="E22" s="391"/>
      <c r="F22" s="391"/>
      <c r="G22" s="391"/>
      <c r="H22" s="391"/>
      <c r="I22" s="392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/>
      <c r="D26" s="391"/>
      <c r="E26" s="391"/>
      <c r="F26" s="391">
        <v>3</v>
      </c>
      <c r="G26" s="391">
        <v>21</v>
      </c>
      <c r="H26" s="391"/>
      <c r="I26" s="392">
        <f t="shared" si="0"/>
        <v>24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6" t="s">
        <v>549</v>
      </c>
      <c r="B27" s="397" t="s">
        <v>855</v>
      </c>
      <c r="C27" s="398">
        <f t="shared" ref="C27:H27" si="2">SUM(C20:C26)</f>
        <v>0</v>
      </c>
      <c r="D27" s="398">
        <f t="shared" si="2"/>
        <v>0</v>
      </c>
      <c r="E27" s="398">
        <f t="shared" si="2"/>
        <v>0</v>
      </c>
      <c r="F27" s="398">
        <f t="shared" si="2"/>
        <v>3</v>
      </c>
      <c r="G27" s="398">
        <f t="shared" si="2"/>
        <v>21</v>
      </c>
      <c r="H27" s="398">
        <f t="shared" si="2"/>
        <v>0</v>
      </c>
      <c r="I27" s="399">
        <f t="shared" si="0"/>
        <v>24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9" t="s">
        <v>856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4" t="s">
        <v>7</v>
      </c>
      <c r="B31" s="608">
        <f>pdeReportingDate</f>
        <v>45897</v>
      </c>
      <c r="C31" s="608"/>
      <c r="D31" s="608"/>
      <c r="E31" s="608"/>
      <c r="F31" s="608"/>
      <c r="G31" s="93"/>
      <c r="H31" s="93"/>
      <c r="I31" s="93"/>
    </row>
    <row r="32" spans="1:16">
      <c r="A32" s="584"/>
      <c r="B32" s="608"/>
      <c r="C32" s="608"/>
      <c r="D32" s="608"/>
      <c r="E32" s="608"/>
      <c r="F32" s="608"/>
      <c r="G32" s="93"/>
      <c r="H32" s="93"/>
      <c r="I32" s="93"/>
    </row>
    <row r="33" spans="1:9">
      <c r="A33" s="585" t="s">
        <v>292</v>
      </c>
      <c r="B33" s="609" t="str">
        <f>authorName</f>
        <v>Иван Рашков</v>
      </c>
      <c r="C33" s="609"/>
      <c r="D33" s="609"/>
      <c r="E33" s="609"/>
      <c r="F33" s="609"/>
      <c r="G33" s="93"/>
      <c r="H33" s="93"/>
      <c r="I33" s="93"/>
    </row>
    <row r="34" spans="1:9">
      <c r="A34" s="585"/>
      <c r="B34" s="645"/>
      <c r="C34" s="645"/>
      <c r="D34" s="645"/>
      <c r="E34" s="645"/>
      <c r="F34" s="645"/>
      <c r="G34" s="645"/>
      <c r="H34" s="645"/>
      <c r="I34" s="645"/>
    </row>
    <row r="35" spans="1:9">
      <c r="A35" s="585" t="s">
        <v>12</v>
      </c>
      <c r="B35" s="646"/>
      <c r="C35" s="646"/>
      <c r="D35" s="646"/>
      <c r="E35" s="646"/>
      <c r="F35" s="646"/>
      <c r="G35" s="646"/>
      <c r="H35" s="646"/>
      <c r="I35" s="646"/>
    </row>
    <row r="36" spans="1:9" ht="15.75" customHeight="1">
      <c r="A36" s="586"/>
      <c r="B36" s="607" t="s">
        <v>993</v>
      </c>
      <c r="C36" s="607"/>
      <c r="D36" s="607"/>
      <c r="E36" s="607"/>
      <c r="F36" s="607"/>
      <c r="G36" s="607"/>
      <c r="H36" s="607"/>
      <c r="I36" s="607"/>
    </row>
    <row r="37" spans="1:9" ht="15.75" customHeight="1">
      <c r="A37" s="586"/>
      <c r="B37" s="607" t="s">
        <v>293</v>
      </c>
      <c r="C37" s="607"/>
      <c r="D37" s="607"/>
      <c r="E37" s="607"/>
      <c r="F37" s="607"/>
      <c r="G37" s="607"/>
      <c r="H37" s="607"/>
      <c r="I37" s="607"/>
    </row>
    <row r="38" spans="1:9" ht="15.75" customHeight="1">
      <c r="A38" s="586"/>
      <c r="B38" s="607" t="s">
        <v>293</v>
      </c>
      <c r="C38" s="607"/>
      <c r="D38" s="607"/>
      <c r="E38" s="607"/>
      <c r="F38" s="607"/>
      <c r="G38" s="607"/>
      <c r="H38" s="607"/>
      <c r="I38" s="607"/>
    </row>
    <row r="39" spans="1:9" ht="15.75" customHeight="1">
      <c r="A39" s="586"/>
      <c r="B39" s="607" t="s">
        <v>293</v>
      </c>
      <c r="C39" s="607"/>
      <c r="D39" s="607"/>
      <c r="E39" s="607"/>
      <c r="F39" s="607"/>
      <c r="G39" s="607"/>
      <c r="H39" s="607"/>
      <c r="I39" s="607"/>
    </row>
    <row r="40" spans="1:9">
      <c r="A40" s="586"/>
      <c r="B40" s="607"/>
      <c r="C40" s="607"/>
      <c r="D40" s="607"/>
      <c r="E40" s="607"/>
      <c r="F40" s="607"/>
      <c r="G40" s="607"/>
      <c r="H40" s="607"/>
      <c r="I40" s="607"/>
    </row>
    <row r="41" spans="1:9">
      <c r="A41" s="586"/>
      <c r="B41" s="607"/>
      <c r="C41" s="607"/>
      <c r="D41" s="607"/>
      <c r="E41" s="607"/>
      <c r="F41" s="607"/>
      <c r="G41" s="607"/>
      <c r="H41" s="607"/>
      <c r="I41" s="607"/>
    </row>
    <row r="42" spans="1:9">
      <c r="A42" s="586"/>
      <c r="B42" s="607"/>
      <c r="C42" s="607"/>
      <c r="D42" s="607"/>
      <c r="E42" s="607"/>
      <c r="F42" s="607"/>
      <c r="G42" s="607"/>
      <c r="H42" s="607"/>
      <c r="I42" s="607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75">
      <c r="A2" s="560" t="str">
        <f>CONCATENATE("на информацията, въведена в справките на ",UPPER(pdeName))</f>
        <v>на информацията, въведена в справките на ИНДУСТРИАЛЕН ХОЛДИНГ БЪЛГАРИЯ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75">
      <c r="A3" s="560" t="str">
        <f>CONCATENATE("за периода от ",TEXT(startDate,"dd.mm.yyyy г.")," до ",TEXT(endDate,"dd.mm.yyyy г."))</f>
        <v>за периода от 01.01.2025 г. до 30.06.2025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451397</v>
      </c>
      <c r="D6" s="592">
        <f t="shared" ref="D6:D15" si="0">C6-E6</f>
        <v>0</v>
      </c>
      <c r="E6" s="569">
        <f>'1-Баланс'!G95</f>
        <v>451397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390676</v>
      </c>
      <c r="D7" s="592">
        <f t="shared" si="0"/>
        <v>293868</v>
      </c>
      <c r="E7" s="569">
        <f>'1-Баланс'!G18</f>
        <v>96808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-1461</v>
      </c>
      <c r="D8" s="592">
        <f t="shared" si="0"/>
        <v>0</v>
      </c>
      <c r="E8" s="569">
        <f>ABS('2-Отчет за доходите'!C44)-ABS('2-Отчет за доходите'!G44)</f>
        <v>-1461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30811</v>
      </c>
      <c r="D9" s="592">
        <f t="shared" si="0"/>
        <v>0</v>
      </c>
      <c r="E9" s="569">
        <f>'3-Отчет за паричния поток'!C45</f>
        <v>30811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22726</v>
      </c>
      <c r="D10" s="592">
        <f t="shared" si="0"/>
        <v>0</v>
      </c>
      <c r="E10" s="569">
        <f>'3-Отчет за паричния поток'!C46</f>
        <v>22726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390676</v>
      </c>
      <c r="D11" s="592">
        <f t="shared" si="0"/>
        <v>0</v>
      </c>
      <c r="E11" s="569">
        <f>'4-Отчет за собствения капитал'!L34</f>
        <v>390676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2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2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23</v>
      </c>
      <c r="D14" s="592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0</v>
      </c>
      <c r="D15" s="592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1ej63CHV+zd1GVUCydpJ5t1a4GeSKEvsV1ejiHEU4/s=</DigestValue>
    </Reference>
    <Reference Type="http://www.w3.org/2000/09/xmldsig#Object" URI="#idOfficeObject">
      <DigestMethod Algorithm="http://www.w3.org/2001/04/xmlenc#sha256"/>
      <DigestValue>yXRnuVwWI6ViAeSnYx0XtZ7TCDqlOEzqRuMxhu/EZSI=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IOzNrQdbWzsIavDWl5QduNwe0/7TUIxFpo25lm16mvU=</DigestValue>
    </Reference>
  </SignedInfo>
  <SignatureValue>meBenmAmoUzMyhcJEF5Bg5IF71r8eLlecE/o+EW0hlMfFdTIXi6xseyVvatJCG5wA6xBe2aK9lsk
go7LySvvH//epYBaitHGrVhlpYeED2BZbCSJDGRHnvxVvSpvyrWkhS5jfMIzKY2hJtZwg7EQ50b8
uu3sgdWbDtP3Zmpm+hp13NIpZbgYrHEM7bhrVhfxI662xdao+Os2sE832BSAn5Jl0IqFM5PlClI6
twcYNQk5j9XYX2qLVochnVCkdCarvlFf7V+Xgr8klvAajFS7vyWZzWldi1Y9jxao6LN112E253SI
TkVxeGn0d737Tov7QtzX1crHn5slJpn0gIjMPQ==</SignatureValue>
  <KeyInfo>
    <X509Data>
      <X509Certificate>MIIHQTCCBSmgAwIBAgIEI8VliTANBgkqhkiG9w0BAQsFADB4MQswCQYDVQQGEwJCRzEYMBYGA1UEYRMPTlRSQkctMjAxMjMwNDI2MRIwEAYDVQQKEwlCT1JJQ0EgQUQxEDAOBgNVBAsTB0ItVHJ1c3QxKTAnBgNVBAMTIEItVHJ1c3QgT3BlcmF0aW9uYWwgUXVhbGlmaWVkIENBMB4XDTI0MTEyMjAwMDAwMFoXDTI1MTEyMjAwMDAwMFowgdYxJzAlBgkqhkiG9w0BCQEWGGl3YW5AYnVsZ2FyaWFob2xkaW5nLmNvbTEnMCUGA1UECgweSU5EVVNUUklBTCBIT0xESU5HIEJVTEdBUklBIEFEMRgwFgYDVQRhDA9OVFJCRy0xMjE2MzEyMTkxEDAOBgNVBAQMB1Jhc2hrb3YxDTALBgNVBCoMBEl2YW4xGTAXBgNVBAUTEFBOT0JHLTc5MDIyMzQ1NjAxHzAdBgNVBAMMFkl2YW4gVHN2ZXRhbm92IFJhc2hrb3YxCzAJBgNVBAYTAkJHMIIBIjANBgkqhkiG9w0BAQEFAAOCAQ8AMIIBCgKCAQEAuP9pz9LJsPDzKKWInPvWrfPmLqBv+T4OTdtPC0m+v2l4A7bGuiO+iJlNEFVAyHKcxId5wVhazaWniurXOI/NQt7kT9lDJ/UsGCCNTCl6sjIBcTRvyGE7QjH6JkeEmhRu9VLoATMqm5ONun8pTLuYyCB6HCHJZjzO2UFy2GvSjIKhRFEh+aVbRGAioFbr4OfZWkHY2rJP/PZuBfmGpCDicUF5mnDBXFekOCoe9wd8CSUWtmHuNjkXHqW/5Wk+T9Lt1QhmvhgmKKd4Tn+Cuq4B7ZldPWKgk8vOPZk/Uo/UItr/kHNJp4yibKN+WAHMW+7XJ23mLHT0h3SQpRh06my7BQIDAQABo4ICcjCCAm4wHQYDVR0OBBYEFG+Y1OxLmM4p+LaZyxQWNn8m3sJW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CQFwRHDmYX/CtO8QQqJDlkqutOfyMJ8iIEYvcCO/WISlxC38k8CxAbed5so+pe7hfKr+925zrv+zNzqfGLHv7AIjPhGd9rHekNoBWBp/EEhZEKaW+SjGvaP3Lw5mUFQ+0jLV6Wvbsrz1Kj3RPidFyNGahbLeNGbWCk08KTLeVO2Ip37k8Ym4X7iYGPQ7ctAb000fO5Beqtq3Y0raMKMvuAqoGHnl2nYtFDNK1VB0gWbqqu0d1Hn8ZBj4ThsbN4KTQPQRGq/F6Jcyj+2L6zS6vXMSfoD7VgpXqMBdrzSAucT0MYeRlDuLYfSKiPd1qMgkVR3qrnwBdwalGTHB3QCHOz5ie6FCjdsjVjjkGP+e0ozLArVtNbR9y8aX6KpGvAa9Voqzhr46kxh8W6kQUotVB3BK20mgYpPqD9VQFBa60p1hkQ99u3zu0xRPpbrkTUlvm84fCzziN/Vta93+Ehd4ZMNhzj+kBYQxRIjunFTLkted4u1COdeX9+urEkS4BelEQIbu2i2UvBCEpirzwrSIPnrpciYB8iLKwXkTIw70x0pgoQ+Jv4dxnG0+Aci6mEcEkelRA3/Dte/+ZNa1aRGeWya/ewhiLnAro5K/DHYeJbayH3lExiioDAapjfXIdt2RUcdDz3w+Wb9ZP51L/BqffctFKnnUWjeBctUVU71xAmX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CPZ83t1Qfx1T4yQZlStpqk96TBtbHQmdQ+V/MBXnsIU=</DigestValue>
      </Reference>
      <Reference URI="/xl/calcChain.xml?ContentType=application/vnd.openxmlformats-officedocument.spreadsheetml.calcChain+xml">
        <DigestMethod Algorithm="http://www.w3.org/2001/04/xmlenc#sha256"/>
        <DigestValue>0+i8YtL/JQl8Kj2Can1KTPDtuxzimRfIYc+6mydHLKc=</DigestValue>
      </Reference>
      <Reference URI="/xl/comments1.xml?ContentType=application/vnd.openxmlformats-officedocument.spreadsheetml.comments+xml">
        <DigestMethod Algorithm="http://www.w3.org/2001/04/xmlenc#sha256"/>
        <DigestValue>6M2bCM+CX2ZsKq9GStuXL+T6dgPd5nrzGlJY727CIsg=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Kqwt8w3/LfiDnRqSjfyJ2sEHNdW8rB9gBjjsq+X3noA=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FwkOnA1EH8UbChVZPcETEgE6qZDVmoWQrOc5VQv3jEE=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sharedStrings.xml?ContentType=application/vnd.openxmlformats-officedocument.spreadsheetml.sharedStrings+xml">
        <DigestMethod Algorithm="http://www.w3.org/2001/04/xmlenc#sha256"/>
        <DigestValue>AQx8ycV0LMoPSJq7nRbyXq4QLb2KM4QiCR94R/lTUIE=</DigestValue>
      </Reference>
      <Reference URI="/xl/styles.xml?ContentType=application/vnd.openxmlformats-officedocument.spreadsheetml.styles+xml">
        <DigestMethod Algorithm="http://www.w3.org/2001/04/xmlenc#sha256"/>
        <DigestValue>W3swMKNylT7GSBdciArVjlkzMmht2jHyPL8XdegQIVo=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0gxMGosaG7RPwsTpuMyAQ1dcThk+9kEAB1dhTDukG64=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WyC4zz2wMDvFmWiQCA6tT+I9/bLo8L1M71tIf/guBXw=</DigestValue>
      </Reference>
      <Reference URI="/xl/worksheets/sheet10.xml?ContentType=application/vnd.openxmlformats-officedocument.spreadsheetml.worksheet+xml">
        <DigestMethod Algorithm="http://www.w3.org/2001/04/xmlenc#sha256"/>
        <DigestValue>UnDwh0txnTU91DMFdY1+g3BBb4tak/+Ht3UjgaGhBy4=</DigestValue>
      </Reference>
      <Reference URI="/xl/worksheets/sheet11.xml?ContentType=application/vnd.openxmlformats-officedocument.spreadsheetml.worksheet+xml">
        <DigestMethod Algorithm="http://www.w3.org/2001/04/xmlenc#sha256"/>
        <DigestValue>46LNt2NAea+jqUTUao6a+NNc7DkRlkxd7hxISY+gZ0A=</DigestValue>
      </Reference>
      <Reference URI="/xl/worksheets/sheet12.xml?ContentType=application/vnd.openxmlformats-officedocument.spreadsheetml.worksheet+xml">
        <DigestMethod Algorithm="http://www.w3.org/2001/04/xmlenc#sha256"/>
        <DigestValue>bRMeGcBbbqhYdXp4m6sG2xC4yUeDDjD3zkVmcpAh7is=</DigestValue>
      </Reference>
      <Reference URI="/xl/worksheets/sheet2.xml?ContentType=application/vnd.openxmlformats-officedocument.spreadsheetml.worksheet+xml">
        <DigestMethod Algorithm="http://www.w3.org/2001/04/xmlenc#sha256"/>
        <DigestValue>ec79xxvmXKNpKNC8/4fK6z7ma15sCzyKoXwPLzJMicg=</DigestValue>
      </Reference>
      <Reference URI="/xl/worksheets/sheet3.xml?ContentType=application/vnd.openxmlformats-officedocument.spreadsheetml.worksheet+xml">
        <DigestMethod Algorithm="http://www.w3.org/2001/04/xmlenc#sha256"/>
        <DigestValue>E5OAcUPwTkPMjAuXuVshFe5nr5WzfLEfNca3wGfxoSQ=</DigestValue>
      </Reference>
      <Reference URI="/xl/worksheets/sheet4.xml?ContentType=application/vnd.openxmlformats-officedocument.spreadsheetml.worksheet+xml">
        <DigestMethod Algorithm="http://www.w3.org/2001/04/xmlenc#sha256"/>
        <DigestValue>2nOm+sP6qGYnskkBxPEjKdRK00vcf98YcPSyFchvb8g=</DigestValue>
      </Reference>
      <Reference URI="/xl/worksheets/sheet5.xml?ContentType=application/vnd.openxmlformats-officedocument.spreadsheetml.worksheet+xml">
        <DigestMethod Algorithm="http://www.w3.org/2001/04/xmlenc#sha256"/>
        <DigestValue>tISbsYpWf2F2Y6aGiwWJPdxK7L+eNFNlEFm/S9kknWY=</DigestValue>
      </Reference>
      <Reference URI="/xl/worksheets/sheet6.xml?ContentType=application/vnd.openxmlformats-officedocument.spreadsheetml.worksheet+xml">
        <DigestMethod Algorithm="http://www.w3.org/2001/04/xmlenc#sha256"/>
        <DigestValue>VX6zmoQ5TRYoXztsZ3YBoZO4ONBxc0KbFr8OXtRyOGE=</DigestValue>
      </Reference>
      <Reference URI="/xl/worksheets/sheet7.xml?ContentType=application/vnd.openxmlformats-officedocument.spreadsheetml.worksheet+xml">
        <DigestMethod Algorithm="http://www.w3.org/2001/04/xmlenc#sha256"/>
        <DigestValue>LfBTGqJJqi/nvP211h+wCLDiSXDRCH18264UJnwyIEQ=</DigestValue>
      </Reference>
      <Reference URI="/xl/worksheets/sheet8.xml?ContentType=application/vnd.openxmlformats-officedocument.spreadsheetml.worksheet+xml">
        <DigestMethod Algorithm="http://www.w3.org/2001/04/xmlenc#sha256"/>
        <DigestValue>R9+0er3ALgYvgxE6QqM1ayS34WdUJvJF67rZwkcPgRs=</DigestValue>
      </Reference>
      <Reference URI="/xl/worksheets/sheet9.xml?ContentType=application/vnd.openxmlformats-officedocument.spreadsheetml.worksheet+xml">
        <DigestMethod Algorithm="http://www.w3.org/2001/04/xmlenc#sha256"/>
        <DigestValue>inoJ4onkHrs/l97YPDJ327ix0h6k1qSd1UzmNhWSJFs=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2025-08-28T14:02:10Z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16.0.19029/27</OfficeVersion>
          <ApplicationVersion>16.0.19029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2025-08-28T14:02:10Z</xd:SigningTime>
          <xd:SigningCertificate>
            <xd:Cert>
              <xd:CertDigest>
                <DigestMethod Algorithm="http://www.w3.org/2001/04/xmlenc#sha256"/>
                <DigestValue>gtmNKXJ2WcVyf5CMETBKRTKEjHi6PHu9mVv2EuyuMaY=</DigestValue>
              </xd:CertDigest>
              <xd:IssuerSerial>
                <X509IssuerName>CN=B-Trust Operational Qualified CA, OU=B-Trust, O=BORICA AD, OID.2.5.4.97=NTRBG-201230426, C=BG</X509IssuerName>
                <X509SerialNumber>600139145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vSGpAIyKU63zByXnBUvQo6manfVYrQjS5s4xjv6JC/M=</DigestValue>
    </Reference>
    <Reference Type="http://www.w3.org/2000/09/xmldsig#Object" URI="#idOfficeObject">
      <DigestMethod Algorithm="http://www.w3.org/2001/04/xmlenc#sha256"/>
      <DigestValue>yXRnuVwWI6ViAeSnYx0XtZ7TCDqlOEzqRuMxhu/EZSI=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oe94MzreFA7toY6wd319w6Qn609zx7OTjr86REXma68=</DigestValue>
    </Reference>
  </SignedInfo>
  <SignatureValue>XEFnfg8YaP5cJl0mbJtsoy5fG57yEAl/+mErlEMz05c745YfKBX3Y93WZzuhS66rFgoz9P0ZUzRC
xY5ouJ3iRNkMbqgK5Jog50uivRZzapBMcuUDEizNzjDh/be3iPKCQZRoEEPHb9c5rdcdNnXpd4bm
ZEK4kQcnstKM5jNX8IzUloCkq+BLbyT3J4UjM//Y6ZiLb3VBLQ4B0krhQVYU4zdNMFfnY+Yvj60S
d+fK/js5eeKvUNBud6CqktToHKSwVrC6tjiZhjtL7VGUIEVbJlTfXLD/eTdlDj5bx7qJVghb45+F
rAipGJMzoCbaQ2ICaRI1uGwDE5VSoWpKATUWpw==</SignatureValue>
  <KeyInfo>
    <X509Data>
      <X509Certificate>MIIHRjCCBS6gAwIBAgIEI8Ug8zANBgkqhkiG9w0BAQsFADB4MQswCQYDVQQGEwJCRzEYMBYGA1UEYRMPTlRSQkctMjAxMjMwNDI2MRIwEAYDVQQKEwlCT1JJQ0EgQUQxEDAOBgNVBAsTB0ItVHJ1c3QxKTAnBgNVBAMTIEItVHJ1c3QgT3BlcmF0aW9uYWwgUXVhbGlmaWVkIENBMB4XDTI0MDkxNDAwMDAwMFoXDTI1MDkxNDAwMDAwMFowgdsxKTAnBgkqhkiG9w0BCQEWGm9mZmljZUBidWxnYXJpYWhvbGRpbmcuY29tMScwJQYDVQQKDB5JTkRVU1RSSUFMIEhPTERJTkcgQlVMR0FSSUEgQUQxGDAWBgNVBGEMD05UUkJHLTEyMTYzMTIxOTEQMA4GA1UEBAwHWmhlbGV2YTEPMA0GA1UEKgwGRGFuZXRhMRkwFwYDVQQFExBQTk9CRy02ODAxMDI0NTc5MSAwHgYDVQQDDBdEYW5ldGEgQW5nZWxvdmEgWmhlbGV2YTELMAkGA1UEBhMCQkcwggEiMA0GCSqGSIb3DQEBAQUAA4IBDwAwggEKAoIBAQD1ZVaIIWnY1178u643farxIvHpaOAnCo3PcvdBRocmQ9kryT0d7D7lk28Dd4JH1VoHlT2W41zqCfeTxLyn1hpNjNliRjtKhU8RdxXIJ2np4cWzFwBUfgx9DAOFfUJ8YcHNrUbktF6SJRXW+PpXwVPtIBNn4Yqxp2bAWa73i5s8X30Ye1sFPwLtbLHCl7ZSlsJYVmhATqD7Cw5dNkwK8Dt0oaIKS4ilr8V4XbTcDF8WEpbiNEEK8xPzmvuMlXf1ZbbHKnbWWqX2JQxw9wTrspNK0zLqNcSYK2xTcjImEb0uuKFkPBoCHtEyyn9W6NpI36MrxC/jMpO6mf7up6wnl5+VAgMBAAGjggJyMIICbjAdBgNVHQ4EFgQUutpDoLDkpWRySs9k2SLVkgPwWaIwHwYDVR0jBBgwFoAUJ88IQwTwxYM3Z4EXTfwF5ttli7AwIAYDVR0SBBkwF4YVaHR0cDovL3d3dy5iLXRydXN0LmJnMAkGA1UdEwQCMAAwYQYDVR0gBFowWDBBBgsrBgEEAft2AQYBAjAyMDAGCCsGAQUFBwIBFiRodHRwOi8vd3d3LmItdHJ1c3Qub3JnL2RvY3VtZW50cy9jcHMwCAYGBACLMAEBMAkGBwQAi+xAAQIwDgYDVR0PAQH/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hBggrBgEFBQcBAwSBlDCBkTAVBggrBgEFBQcLAjAJBgcEAIvsSQEBMBUGCCsGAQUFBwsCMAkGBwQAi+xJAQIwCAYGBACORgEBMAgGBgQAjkYBBDA4BgYEAI5GAQUwLjAsFiZodHRwczovL3d3dy5iLXRydXN0Lm9yZy9wZHMvcGRzX2VuLnBkZhMCZW4wEwYGBACORgEGMAkGBwQAjkYBBgEwDQYJKoZIhvcNAQELBQADggIBAH2Lj9P6xM+6ToaUbk0kLH8xGYYmc9PsNKys32oMwtS/sXFitldWVJ86Qs6c3IiGWvj+bxGtY2n+m/tBouslLumnqrL+Hk6oz5w9a9kw4+wcgnki1DX/ldDJT/rPdX8LuN/k0mi/rzifWFbWVNLP1l7dyMnmZ7p14GwxDT2dsDu9axpugdIzv3hraKPksauJscgWoAVkYCOhURYhsvyB9hGlVm1oxE2fadiuBlUtfGJWvxVX3V1+puDz4IghvNhOWExyRJu/ZbSM4lc4aP/pAJnv6iVl5pVCuogXq+yHVKQHVdIbm79C2pN8tkizSpmoAAtp75EaA3+VaSYIDuAVfD3/3Jh/F9T0pJWSzjovZ+1yqmrm0SBvf6+7io7WPG2M4/hMu0exauK4BdKI6fhv4WxeVIIUVSOA4JZdrRv+yMJ1y/dShy3aYO9uolEi5PX5YBcYkLK8xSUG+G+KPM8VIZN1vkbC98bLJg9BAJPpVWMr9rZNVOrjTY1Mdz8rDl4oP/4E0R8RV11bVgrb+DquNOsr0VAHAd6vcpLzvPUctRwJ3qtfS5+qDH69HPhAeNB7Qp8e7CqLyAJ4XgGoDPHhDByaBJw/pKVshSSaXltfIS2MohYXNo2AapWgTkaei+/hFkxusRlpXxel04y9QXnIRVnLuQispBXxy2G0r/rswj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CPZ83t1Qfx1T4yQZlStpqk96TBtbHQmdQ+V/MBXnsIU=</DigestValue>
      </Reference>
      <Reference URI="/xl/calcChain.xml?ContentType=application/vnd.openxmlformats-officedocument.spreadsheetml.calcChain+xml">
        <DigestMethod Algorithm="http://www.w3.org/2001/04/xmlenc#sha256"/>
        <DigestValue>0+i8YtL/JQl8Kj2Can1KTPDtuxzimRfIYc+6mydHLKc=</DigestValue>
      </Reference>
      <Reference URI="/xl/comments1.xml?ContentType=application/vnd.openxmlformats-officedocument.spreadsheetml.comments+xml">
        <DigestMethod Algorithm="http://www.w3.org/2001/04/xmlenc#sha256"/>
        <DigestValue>6M2bCM+CX2ZsKq9GStuXL+T6dgPd5nrzGlJY727CIsg=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Kqwt8w3/LfiDnRqSjfyJ2sEHNdW8rB9gBjjsq+X3noA=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v66I2NoIoYP5IsIbOXioFV/X7mGglay5hVY85sWPibc=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FwkOnA1EH8UbChVZPcETEgE6qZDVmoWQrOc5VQv3jEE=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JHEQstqiM1L848BODn5mMWgd+JXADGgQF3pbReNkuoU=</DigestValue>
      </Reference>
      <Reference URI="/xl/sharedStrings.xml?ContentType=application/vnd.openxmlformats-officedocument.spreadsheetml.sharedStrings+xml">
        <DigestMethod Algorithm="http://www.w3.org/2001/04/xmlenc#sha256"/>
        <DigestValue>AQx8ycV0LMoPSJq7nRbyXq4QLb2KM4QiCR94R/lTUIE=</DigestValue>
      </Reference>
      <Reference URI="/xl/styles.xml?ContentType=application/vnd.openxmlformats-officedocument.spreadsheetml.styles+xml">
        <DigestMethod Algorithm="http://www.w3.org/2001/04/xmlenc#sha256"/>
        <DigestValue>W3swMKNylT7GSBdciArVjlkzMmht2jHyPL8XdegQIVo=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0gxMGosaG7RPwsTpuMyAQ1dcThk+9kEAB1dhTDukG64=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WyC4zz2wMDvFmWiQCA6tT+I9/bLo8L1M71tIf/guBXw=</DigestValue>
      </Reference>
      <Reference URI="/xl/worksheets/sheet10.xml?ContentType=application/vnd.openxmlformats-officedocument.spreadsheetml.worksheet+xml">
        <DigestMethod Algorithm="http://www.w3.org/2001/04/xmlenc#sha256"/>
        <DigestValue>UnDwh0txnTU91DMFdY1+g3BBb4tak/+Ht3UjgaGhBy4=</DigestValue>
      </Reference>
      <Reference URI="/xl/worksheets/sheet11.xml?ContentType=application/vnd.openxmlformats-officedocument.spreadsheetml.worksheet+xml">
        <DigestMethod Algorithm="http://www.w3.org/2001/04/xmlenc#sha256"/>
        <DigestValue>46LNt2NAea+jqUTUao6a+NNc7DkRlkxd7hxISY+gZ0A=</DigestValue>
      </Reference>
      <Reference URI="/xl/worksheets/sheet12.xml?ContentType=application/vnd.openxmlformats-officedocument.spreadsheetml.worksheet+xml">
        <DigestMethod Algorithm="http://www.w3.org/2001/04/xmlenc#sha256"/>
        <DigestValue>bRMeGcBbbqhYdXp4m6sG2xC4yUeDDjD3zkVmcpAh7is=</DigestValue>
      </Reference>
      <Reference URI="/xl/worksheets/sheet2.xml?ContentType=application/vnd.openxmlformats-officedocument.spreadsheetml.worksheet+xml">
        <DigestMethod Algorithm="http://www.w3.org/2001/04/xmlenc#sha256"/>
        <DigestValue>ec79xxvmXKNpKNC8/4fK6z7ma15sCzyKoXwPLzJMicg=</DigestValue>
      </Reference>
      <Reference URI="/xl/worksheets/sheet3.xml?ContentType=application/vnd.openxmlformats-officedocument.spreadsheetml.worksheet+xml">
        <DigestMethod Algorithm="http://www.w3.org/2001/04/xmlenc#sha256"/>
        <DigestValue>E5OAcUPwTkPMjAuXuVshFe5nr5WzfLEfNca3wGfxoSQ=</DigestValue>
      </Reference>
      <Reference URI="/xl/worksheets/sheet4.xml?ContentType=application/vnd.openxmlformats-officedocument.spreadsheetml.worksheet+xml">
        <DigestMethod Algorithm="http://www.w3.org/2001/04/xmlenc#sha256"/>
        <DigestValue>2nOm+sP6qGYnskkBxPEjKdRK00vcf98YcPSyFchvb8g=</DigestValue>
      </Reference>
      <Reference URI="/xl/worksheets/sheet5.xml?ContentType=application/vnd.openxmlformats-officedocument.spreadsheetml.worksheet+xml">
        <DigestMethod Algorithm="http://www.w3.org/2001/04/xmlenc#sha256"/>
        <DigestValue>tISbsYpWf2F2Y6aGiwWJPdxK7L+eNFNlEFm/S9kknWY=</DigestValue>
      </Reference>
      <Reference URI="/xl/worksheets/sheet6.xml?ContentType=application/vnd.openxmlformats-officedocument.spreadsheetml.worksheet+xml">
        <DigestMethod Algorithm="http://www.w3.org/2001/04/xmlenc#sha256"/>
        <DigestValue>VX6zmoQ5TRYoXztsZ3YBoZO4ONBxc0KbFr8OXtRyOGE=</DigestValue>
      </Reference>
      <Reference URI="/xl/worksheets/sheet7.xml?ContentType=application/vnd.openxmlformats-officedocument.spreadsheetml.worksheet+xml">
        <DigestMethod Algorithm="http://www.w3.org/2001/04/xmlenc#sha256"/>
        <DigestValue>LfBTGqJJqi/nvP211h+wCLDiSXDRCH18264UJnwyIEQ=</DigestValue>
      </Reference>
      <Reference URI="/xl/worksheets/sheet8.xml?ContentType=application/vnd.openxmlformats-officedocument.spreadsheetml.worksheet+xml">
        <DigestMethod Algorithm="http://www.w3.org/2001/04/xmlenc#sha256"/>
        <DigestValue>R9+0er3ALgYvgxE6QqM1ayS34WdUJvJF67rZwkcPgRs=</DigestValue>
      </Reference>
      <Reference URI="/xl/worksheets/sheet9.xml?ContentType=application/vnd.openxmlformats-officedocument.spreadsheetml.worksheet+xml">
        <DigestMethod Algorithm="http://www.w3.org/2001/04/xmlenc#sha256"/>
        <DigestValue>inoJ4onkHrs/l97YPDJ327ix0h6k1qSd1UzmNhWSJFs=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2025-08-28T14:05:46Z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16.0.19029/27</OfficeVersion>
          <ApplicationVersion>16.0.19029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2025-08-28T14:05:46Z</xd:SigningTime>
          <xd:SigningCertificate>
            <xd:Cert>
              <xd:CertDigest>
                <DigestMethod Algorithm="http://www.w3.org/2001/04/xmlenc#sha256"/>
                <DigestValue>vY+mwEfQ7/4R8499VskDAqA8bfU5BhpKvzyuFr0wMq4=</DigestValue>
              </xd:CertDigest>
              <xd:IssuerSerial>
                <X509IssuerName>CN=B-Trust Operational Qualified CA, OU=B-Trust, O=BORICA AD, OID.2.5.4.97=NTRBG-201230426, C=BG</X509IssuerName>
                <X509SerialNumber>600121587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Rashkov</cp:lastModifiedBy>
  <cp:revision/>
  <dcterms:created xsi:type="dcterms:W3CDTF">2006-09-16T00:00:00Z</dcterms:created>
  <dcterms:modified xsi:type="dcterms:W3CDTF">2025-08-28T13:29:37Z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